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4855" windowHeight="12030" activeTab="2"/>
  </bookViews>
  <sheets>
    <sheet name="Calcul" sheetId="1" r:id="rId1"/>
    <sheet name="Données" sheetId="2" r:id="rId2"/>
    <sheet name="A propos" sheetId="3" r:id="rId3"/>
  </sheets>
  <definedNames>
    <definedName name="D_Fraise">Calcul!$E$22</definedName>
    <definedName name="D_Outil">Données!$E$2:$E$18</definedName>
    <definedName name="Dents">Données!$F$2:$F$5</definedName>
    <definedName name="Fraise">Données!$E$2:$E$16</definedName>
    <definedName name="Matière">Données!$G$2:$G$16</definedName>
    <definedName name="Outil" localSheetId="1">Données!$E$2:$E$18</definedName>
    <definedName name="Outil">Données!$E$2:$E$18</definedName>
    <definedName name="TypOp">Données!$A$2:$A$5</definedName>
    <definedName name="TypOut">Données!$C$2:$C$4</definedName>
  </definedNames>
  <calcPr calcId="124519"/>
</workbook>
</file>

<file path=xl/calcChain.xml><?xml version="1.0" encoding="utf-8"?>
<calcChain xmlns="http://schemas.openxmlformats.org/spreadsheetml/2006/main">
  <c r="M35" i="2"/>
  <c r="G36"/>
  <c r="I15"/>
  <c r="G35"/>
  <c r="M34"/>
  <c r="K14"/>
  <c r="I14"/>
  <c r="K22"/>
  <c r="K13"/>
  <c r="K8"/>
  <c r="I2"/>
  <c r="G29"/>
  <c r="G34"/>
  <c r="G26"/>
  <c r="G25"/>
  <c r="G24"/>
  <c r="G23"/>
  <c r="G33"/>
  <c r="G32"/>
  <c r="G31"/>
  <c r="G30"/>
  <c r="G28"/>
  <c r="G27"/>
  <c r="Y2"/>
  <c r="Y9"/>
  <c r="Y8"/>
  <c r="Y7"/>
  <c r="Y6"/>
  <c r="Y5"/>
  <c r="Y4"/>
  <c r="Y3"/>
  <c r="I13"/>
  <c r="I12"/>
  <c r="W9"/>
  <c r="W8"/>
  <c r="W7"/>
  <c r="W6"/>
  <c r="W5"/>
  <c r="W4"/>
  <c r="W3"/>
  <c r="W2"/>
  <c r="U18"/>
  <c r="U17"/>
  <c r="U16"/>
  <c r="U15"/>
  <c r="U14"/>
  <c r="U13"/>
  <c r="U12"/>
  <c r="U11"/>
  <c r="U10"/>
  <c r="U9"/>
  <c r="U8"/>
  <c r="U7"/>
  <c r="U6"/>
  <c r="U5"/>
  <c r="U4"/>
  <c r="U3"/>
  <c r="U2"/>
  <c r="M28"/>
  <c r="M26"/>
  <c r="S18"/>
  <c r="S17"/>
  <c r="S16"/>
  <c r="S15"/>
  <c r="S14"/>
  <c r="S13"/>
  <c r="S12"/>
  <c r="S11"/>
  <c r="S10"/>
  <c r="S9"/>
  <c r="S8"/>
  <c r="S7"/>
  <c r="S6"/>
  <c r="S5"/>
  <c r="S4"/>
  <c r="S3"/>
  <c r="S2"/>
  <c r="Q18"/>
  <c r="Q17"/>
  <c r="Q16"/>
  <c r="Q15"/>
  <c r="Q14"/>
  <c r="Q13"/>
  <c r="Q12"/>
  <c r="Q11"/>
  <c r="Q10"/>
  <c r="Q9"/>
  <c r="Q8"/>
  <c r="Q7"/>
  <c r="Q6"/>
  <c r="Q5"/>
  <c r="Q4"/>
  <c r="Q3"/>
  <c r="Q2"/>
  <c r="O18"/>
  <c r="O17"/>
  <c r="O16"/>
  <c r="O15"/>
  <c r="O14"/>
  <c r="O13"/>
  <c r="O12"/>
  <c r="O11"/>
  <c r="O10"/>
  <c r="O9"/>
  <c r="O8"/>
  <c r="O7"/>
  <c r="O6"/>
  <c r="O5"/>
  <c r="O4"/>
  <c r="O3"/>
  <c r="O2"/>
  <c r="M18"/>
  <c r="M17"/>
  <c r="B5"/>
  <c r="B4"/>
  <c r="D4"/>
  <c r="B3"/>
  <c r="B2"/>
  <c r="M16"/>
  <c r="M15"/>
  <c r="M14"/>
  <c r="M13"/>
  <c r="M12"/>
  <c r="M11"/>
  <c r="M10"/>
  <c r="M9"/>
  <c r="M8"/>
  <c r="M7"/>
  <c r="M6"/>
  <c r="M5"/>
  <c r="M4"/>
  <c r="M3"/>
  <c r="M2"/>
  <c r="I11"/>
  <c r="I10"/>
  <c r="I9"/>
  <c r="I8"/>
  <c r="I7"/>
  <c r="I6"/>
  <c r="I5"/>
  <c r="I4"/>
  <c r="I3"/>
  <c r="F23" l="1"/>
  <c r="Y20"/>
  <c r="M33" s="1"/>
  <c r="W20"/>
  <c r="M32" s="1"/>
  <c r="I20"/>
  <c r="K22" i="1" s="1"/>
  <c r="U20" i="2"/>
  <c r="M29" s="1"/>
  <c r="S20"/>
  <c r="M30" s="1"/>
  <c r="Q20"/>
  <c r="O20"/>
  <c r="M24" s="1"/>
  <c r="M20"/>
  <c r="M31" s="1"/>
  <c r="D3"/>
  <c r="D2"/>
  <c r="B20"/>
  <c r="B28" s="1"/>
  <c r="B26" l="1"/>
  <c r="B25"/>
  <c r="B27"/>
  <c r="B22"/>
  <c r="B23"/>
  <c r="B24"/>
  <c r="M22"/>
  <c r="M23"/>
  <c r="M27"/>
  <c r="M25"/>
  <c r="K25" i="1"/>
  <c r="O25" s="1"/>
  <c r="O22"/>
  <c r="D20" i="2"/>
  <c r="L23" l="1"/>
  <c r="D26"/>
  <c r="D28"/>
  <c r="D25"/>
  <c r="D22"/>
  <c r="D23"/>
  <c r="D27" l="1"/>
  <c r="D24"/>
  <c r="C23" l="1"/>
  <c r="L25" i="1" l="1"/>
  <c r="M25" s="1"/>
  <c r="Q25" s="1"/>
  <c r="L22"/>
  <c r="M22" s="1"/>
  <c r="Q22" s="1"/>
  <c r="P22" l="1"/>
  <c r="P25"/>
  <c r="A23" i="2"/>
  <c r="K15" s="1"/>
  <c r="K12" l="1"/>
  <c r="K7"/>
  <c r="K10"/>
  <c r="K11"/>
  <c r="K6"/>
  <c r="K9"/>
  <c r="K2"/>
  <c r="K3"/>
  <c r="K4"/>
  <c r="K5"/>
  <c r="K20" l="1"/>
  <c r="I22" i="1" s="1"/>
</calcChain>
</file>

<file path=xl/sharedStrings.xml><?xml version="1.0" encoding="utf-8"?>
<sst xmlns="http://schemas.openxmlformats.org/spreadsheetml/2006/main" count="170" uniqueCount="149">
  <si>
    <t>Nb Dents</t>
  </si>
  <si>
    <t>Matière</t>
  </si>
  <si>
    <t>Fraise</t>
  </si>
  <si>
    <t>Balsa</t>
  </si>
  <si>
    <t>Contreplaqué</t>
  </si>
  <si>
    <t>MDF</t>
  </si>
  <si>
    <t>Vc</t>
  </si>
  <si>
    <t>Max Broche</t>
  </si>
  <si>
    <t>POM, PPMA, PC</t>
  </si>
  <si>
    <t>Parquet Stratifié</t>
  </si>
  <si>
    <t>S</t>
  </si>
  <si>
    <t>ap</t>
  </si>
  <si>
    <t>D Outil</t>
  </si>
  <si>
    <t>Outil</t>
  </si>
  <si>
    <t>Diamant</t>
  </si>
  <si>
    <t>Foret</t>
  </si>
  <si>
    <t>Paramètres de coupe  théoriques</t>
  </si>
  <si>
    <r>
      <rPr>
        <b/>
        <sz val="11"/>
        <color theme="1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 en tr/mn</t>
    </r>
  </si>
  <si>
    <r>
      <rPr>
        <b/>
        <sz val="11"/>
        <color theme="1"/>
        <rFont val="Calibri"/>
        <family val="2"/>
        <scheme val="minor"/>
      </rPr>
      <t>F</t>
    </r>
    <r>
      <rPr>
        <sz val="11"/>
        <color theme="1"/>
        <rFont val="Calibri"/>
        <family val="2"/>
        <scheme val="minor"/>
      </rPr>
      <t xml:space="preserve"> (sur X et Y)</t>
    </r>
  </si>
  <si>
    <r>
      <rPr>
        <b/>
        <sz val="11"/>
        <color theme="1"/>
        <rFont val="Calibri"/>
        <family val="2"/>
        <scheme val="minor"/>
      </rPr>
      <t>F</t>
    </r>
    <r>
      <rPr>
        <sz val="11"/>
        <color theme="1"/>
        <rFont val="Calibri"/>
        <family val="2"/>
        <scheme val="minor"/>
      </rPr>
      <t xml:space="preserve"> (sur Z)</t>
    </r>
  </si>
  <si>
    <r>
      <rPr>
        <b/>
        <sz val="11"/>
        <color theme="1"/>
        <rFont val="Calibri"/>
        <family val="2"/>
        <scheme val="minor"/>
      </rPr>
      <t>F</t>
    </r>
    <r>
      <rPr>
        <sz val="11"/>
        <color theme="1"/>
        <rFont val="Calibri"/>
        <family val="2"/>
        <scheme val="minor"/>
      </rPr>
      <t xml:space="preserve"> (sur X et Y) </t>
    </r>
  </si>
  <si>
    <t>CTP Agglo</t>
  </si>
  <si>
    <t>PVC</t>
  </si>
  <si>
    <t>PMMA PC POM</t>
  </si>
  <si>
    <t>Epoxy Carb</t>
  </si>
  <si>
    <t>Al Aluminium</t>
  </si>
  <si>
    <t>Coupe diamant</t>
  </si>
  <si>
    <t>1 dent</t>
  </si>
  <si>
    <t>1 dent alu</t>
  </si>
  <si>
    <t>1 dent coupe G</t>
  </si>
  <si>
    <t>2 dents hélicoïdales</t>
  </si>
  <si>
    <t>2 dents droites</t>
  </si>
  <si>
    <t>2 dents hémisphériques</t>
  </si>
  <si>
    <t>2 dents spécial alu</t>
  </si>
  <si>
    <t>Javelot</t>
  </si>
  <si>
    <t>Javelot alu</t>
  </si>
  <si>
    <t>Carving</t>
  </si>
  <si>
    <t>3 dents spécial alu</t>
  </si>
  <si>
    <t>Bronze laiton</t>
  </si>
  <si>
    <t>Cuivre</t>
  </si>
  <si>
    <t>Paramètres corrigés suivant broche</t>
  </si>
  <si>
    <t>Chx Outil</t>
  </si>
  <si>
    <t>Chx Vc</t>
  </si>
  <si>
    <t>Chx Fz</t>
  </si>
  <si>
    <t>Chx ap</t>
  </si>
  <si>
    <t>ap possible</t>
  </si>
  <si>
    <t>Opération</t>
  </si>
  <si>
    <t>Surfaçage</t>
  </si>
  <si>
    <t>Rainurage</t>
  </si>
  <si>
    <t>Choix Op</t>
  </si>
  <si>
    <t>Choix Out</t>
  </si>
  <si>
    <t>Perçage</t>
  </si>
  <si>
    <t>Chx Op</t>
  </si>
  <si>
    <t>Cor Ap/D/Op</t>
  </si>
  <si>
    <t>Contournage</t>
  </si>
  <si>
    <t>Sélect. VC</t>
  </si>
  <si>
    <t>Calcul des paramètres de coupe pour les outils HSS</t>
  </si>
  <si>
    <t>PMMA</t>
  </si>
  <si>
    <t>PC</t>
  </si>
  <si>
    <t>POM</t>
  </si>
  <si>
    <t>Epoxy</t>
  </si>
  <si>
    <t>Carb</t>
  </si>
  <si>
    <t>PolyCarbonate</t>
  </si>
  <si>
    <t>Delrin</t>
  </si>
  <si>
    <t>PA</t>
  </si>
  <si>
    <t>Polyamide,  nylon</t>
  </si>
  <si>
    <t>PTFE</t>
  </si>
  <si>
    <t>Téflon</t>
  </si>
  <si>
    <t>PEHD</t>
  </si>
  <si>
    <t>Polyéthylène Haute Densité</t>
  </si>
  <si>
    <t>ABS</t>
  </si>
  <si>
    <t>Plastique pour moulage par injection</t>
  </si>
  <si>
    <t>Modes d'action de la fraise</t>
  </si>
  <si>
    <t>Choix du Nombre de dents</t>
  </si>
  <si>
    <t>Fibre de carbone</t>
  </si>
  <si>
    <t xml:space="preserve">               Travail en plongée</t>
  </si>
  <si>
    <t xml:space="preserve">        Oui</t>
  </si>
  <si>
    <t xml:space="preserve">              NON</t>
  </si>
  <si>
    <t>ae : Fz= avance par dent</t>
  </si>
  <si>
    <t>ap : Profondeur de passe</t>
  </si>
  <si>
    <t>Paramètres de coupe théoriques</t>
  </si>
  <si>
    <t>S en tr/s</t>
  </si>
  <si>
    <t>F (sur X et Y)</t>
  </si>
  <si>
    <t>F (suivant Z</t>
  </si>
  <si>
    <t>F (sur Z)</t>
  </si>
  <si>
    <t>Résultats exprimés en mm/mn</t>
  </si>
  <si>
    <t>Résultats exprimés en mm/s</t>
  </si>
  <si>
    <t>Sélection des paramètres</t>
  </si>
  <si>
    <t>Medium Density Fiberboard</t>
  </si>
  <si>
    <t>Hight Pressure Laminate</t>
  </si>
  <si>
    <t>HPL</t>
  </si>
  <si>
    <t>PolyChlorure de Vinyl</t>
  </si>
  <si>
    <t>Plexiglass</t>
  </si>
  <si>
    <t>ap Sel</t>
  </si>
  <si>
    <t>Fz retenu</t>
  </si>
  <si>
    <t xml:space="preserve">PVC </t>
  </si>
  <si>
    <t>Dépron</t>
  </si>
  <si>
    <t>Acier HRc&lt;30 *</t>
  </si>
  <si>
    <t>Alu &lt;10% Si *</t>
  </si>
  <si>
    <t>Alu &gt;10% Si *</t>
  </si>
  <si>
    <t>Cor Fz/Mat</t>
  </si>
  <si>
    <t>Fxy  Métaux</t>
  </si>
  <si>
    <t>Fxy Mtx Sel</t>
  </si>
  <si>
    <t>Fxy MDF</t>
  </si>
  <si>
    <t>FXy MDF Sel</t>
  </si>
  <si>
    <t>Fxy CP</t>
  </si>
  <si>
    <t>Fxy cp SEL</t>
  </si>
  <si>
    <t>Fxy POM</t>
  </si>
  <si>
    <t>Fxy POM sel</t>
  </si>
  <si>
    <t>Fxy PVC</t>
  </si>
  <si>
    <t>Fxy PVC sel</t>
  </si>
  <si>
    <t>Fxy Dépron</t>
  </si>
  <si>
    <t>Fxy Dep Sel</t>
  </si>
  <si>
    <t>Fxy Epoxy</t>
  </si>
  <si>
    <t>Fxy Epox Sel</t>
  </si>
  <si>
    <t>Coef Diviseur</t>
  </si>
  <si>
    <t>* Une lubrification au pinceau facilite le glissement du copeau sur la face</t>
  </si>
  <si>
    <t xml:space="preserve">   de coupe. Huile pour l'acier, Pétrole lampant pour alu et ses alliages</t>
  </si>
  <si>
    <t>Cor F/Outil</t>
  </si>
  <si>
    <t>Verre/Epoxy</t>
  </si>
  <si>
    <t>HPL Dépron</t>
  </si>
  <si>
    <t>Bois dur</t>
  </si>
  <si>
    <t>Bronze, Laiton</t>
  </si>
  <si>
    <t>La feuille de calcul intègre :</t>
  </si>
  <si>
    <t xml:space="preserve">  La table relative au Dépron a été extrapolée à partir de données publiées par Armand ; on verra à l'usage les améliorations à apporter.</t>
  </si>
  <si>
    <t>* une liste d'opérations élémentaires de fraisage (surfaçage, perçage, rainurage, contournage) qui couvre la quasi totalité de nos usinages.</t>
  </si>
  <si>
    <t>* Une liste d'outil couvrant la plage de diamètre 1 à 40 mm.</t>
  </si>
  <si>
    <t>* une sélection du nombre de dents (entre 1 et 4).</t>
  </si>
  <si>
    <t>* une table de coefficients permettant de faire varier ap (la profondeur de passe) en fonction du matériau travaillé et de la fraise utilisée.</t>
  </si>
  <si>
    <t>être compatible avec la puissance de la broche et surtout la résistance mécanique de la fraise. La fraise en action, sous l'action de l'effort de coupe</t>
  </si>
  <si>
    <t xml:space="preserve">et de l'effort d'avance est soumise à une contrainte de flexion rotative qui doit rester dans le domaine élastique. </t>
  </si>
  <si>
    <t>ça explique pourquoi ap varie suivant la matière usinée et le diamètre de l'outil.</t>
  </si>
  <si>
    <t>Version 1,0,1</t>
  </si>
  <si>
    <t>* une table de vitesses de coupe pour 14 matériaux génériques</t>
  </si>
  <si>
    <t>* sept tables d'avances par dent/et par diamètre d'outil correspondant aux matières habituellement travaillées dans notre hobby.</t>
  </si>
  <si>
    <t>* trois types d'outil. (taille diamant, forèt, fraise)</t>
  </si>
  <si>
    <t xml:space="preserve">   ap augmente, ou diminue suivant la dureté du matériau de façon à avoir un effort de coupe compatible avec la résistance de la fraise.</t>
  </si>
  <si>
    <t xml:space="preserve"> formule : S = (1000*Vc)/(3.14*D)  ou  Vc = Vitesse de coupe    D = Diamètre fraise</t>
  </si>
  <si>
    <t>formule : F = S*ae*z         ou S = Vitesse de rotation de la broche     ae = avance par dent de la fraise    z = Nombre de dents de la fraise</t>
  </si>
  <si>
    <r>
      <t>Petit rappel :</t>
    </r>
    <r>
      <rPr>
        <b/>
        <sz val="11"/>
        <color rgb="FFFF0000"/>
        <rFont val="Calibri"/>
        <family val="2"/>
        <scheme val="minor"/>
      </rPr>
      <t xml:space="preserve"> S</t>
    </r>
    <r>
      <rPr>
        <sz val="11"/>
        <color theme="1"/>
        <rFont val="Calibri"/>
        <family val="2"/>
        <scheme val="minor"/>
      </rPr>
      <t xml:space="preserve"> (vitesse de rotation de la broche, donc de l'outil) dépend de la matière à usiner et de l'outil utilisé.</t>
    </r>
  </si>
  <si>
    <r>
      <rPr>
        <b/>
        <sz val="11"/>
        <color rgb="FFFF0000"/>
        <rFont val="Calibri"/>
        <family val="2"/>
        <scheme val="minor"/>
      </rPr>
      <t>F</t>
    </r>
    <r>
      <rPr>
        <sz val="11"/>
        <color theme="1"/>
        <rFont val="Calibri"/>
        <family val="2"/>
        <scheme val="minor"/>
      </rPr>
      <t xml:space="preserve"> (Vitesse d'avance de la fraise en m/mn) ; elle dépend de S, de ae (avance par dent), de z (Nombre de dents de la fraise)</t>
    </r>
  </si>
  <si>
    <r>
      <rPr>
        <b/>
        <sz val="11"/>
        <color rgb="FFFF0000"/>
        <rFont val="Calibri"/>
        <family val="2"/>
        <scheme val="minor"/>
      </rPr>
      <t>ap</t>
    </r>
    <r>
      <rPr>
        <sz val="11"/>
        <color theme="1"/>
        <rFont val="Calibri"/>
        <family val="2"/>
        <scheme val="minor"/>
      </rPr>
      <t xml:space="preserve"> (Profondeur de passe) ; la profondeur de passe conjuguée à l'avance par dent détermine la section du copeau (ae*ap). La section du copeau doit</t>
    </r>
  </si>
  <si>
    <t>Mode d'emploi : Il suffit de choisir ce que l'on veut faire dand les listes déroulantes ; les paramètres sont immédiatement mis à jour.</t>
  </si>
  <si>
    <t>Pour le dépron et l'epoxy, seule la plage d'outils entre 1 et 6 est couverte.</t>
  </si>
  <si>
    <t>Il n'y a pas de sélection du nombre de dents pour les fraises à taille diamant qui s'apparentent plutôt à des limes rotatives (cellule rouge)</t>
  </si>
  <si>
    <t>Pour les fraises à taille diamant, les paramètres de coupe affichent 0 si le risque de rupture de l'outil est garanti par le choix d'un matériau incompatible (référence au tableau guide)</t>
  </si>
  <si>
    <t>BJP 07/2022</t>
  </si>
  <si>
    <t xml:space="preserve">  La plupart de ces tables sont issues, soit de fabricants de fraises, soit de professionnels spécialisés dans la mise en forme de matériaux composites.</t>
  </si>
  <si>
    <r>
      <t xml:space="preserve">   </t>
    </r>
    <r>
      <rPr>
        <sz val="11"/>
        <color rgb="FFFF0000"/>
        <rFont val="Calibri"/>
        <family val="2"/>
        <scheme val="minor"/>
      </rPr>
      <t>Attention, une opération de découpe (contournage) qui engage la fraise sur son diamètre doit  être assimilée à un rainurage.</t>
    </r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</si>
</sst>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00B050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rgb="FF1D1D1B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-0.24994659260841701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92D050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59999389629810485"/>
        <bgColor indexed="65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6">
    <xf numFmtId="0" fontId="0" fillId="0" borderId="0"/>
    <xf numFmtId="0" fontId="5" fillId="8" borderId="0" applyNumberFormat="0" applyBorder="0" applyAlignment="0" applyProtection="0"/>
    <xf numFmtId="0" fontId="6" fillId="9" borderId="0" applyNumberFormat="0" applyBorder="0" applyAlignment="0" applyProtection="0"/>
    <xf numFmtId="0" fontId="7" fillId="0" borderId="0" applyNumberFormat="0" applyFill="0" applyBorder="0" applyAlignment="0" applyProtection="0"/>
    <xf numFmtId="0" fontId="9" fillId="10" borderId="4" applyNumberFormat="0" applyAlignment="0" applyProtection="0"/>
    <xf numFmtId="0" fontId="13" fillId="16" borderId="0" applyNumberFormat="0" applyBorder="0" applyAlignment="0" applyProtection="0"/>
  </cellStyleXfs>
  <cellXfs count="95">
    <xf numFmtId="0" fontId="0" fillId="0" borderId="0" xfId="0"/>
    <xf numFmtId="0" fontId="0" fillId="0" borderId="0" xfId="0" applyAlignment="1">
      <alignment horizontal="center"/>
    </xf>
    <xf numFmtId="0" fontId="0" fillId="3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2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/>
    <xf numFmtId="0" fontId="0" fillId="4" borderId="1" xfId="0" applyFill="1" applyBorder="1"/>
    <xf numFmtId="0" fontId="2" fillId="5" borderId="1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/>
    <xf numFmtId="0" fontId="6" fillId="9" borderId="0" xfId="2" applyAlignment="1">
      <alignment horizontal="center"/>
    </xf>
    <xf numFmtId="0" fontId="5" fillId="8" borderId="0" xfId="1" applyAlignment="1">
      <alignment horizontal="center"/>
    </xf>
    <xf numFmtId="0" fontId="7" fillId="0" borderId="0" xfId="3"/>
    <xf numFmtId="0" fontId="7" fillId="0" borderId="0" xfId="3" applyAlignment="1">
      <alignment horizontal="center"/>
    </xf>
    <xf numFmtId="0" fontId="8" fillId="0" borderId="0" xfId="0" applyFont="1"/>
    <xf numFmtId="165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7" fillId="0" borderId="0" xfId="0" applyFont="1"/>
    <xf numFmtId="0" fontId="10" fillId="0" borderId="0" xfId="0" applyFont="1"/>
    <xf numFmtId="0" fontId="0" fillId="7" borderId="5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1" fontId="3" fillId="0" borderId="5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1" fontId="3" fillId="0" borderId="10" xfId="0" applyNumberFormat="1" applyFont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1" fontId="4" fillId="0" borderId="11" xfId="0" applyNumberFormat="1" applyFont="1" applyBorder="1" applyAlignment="1">
      <alignment horizontal="center"/>
    </xf>
    <xf numFmtId="1" fontId="4" fillId="0" borderId="12" xfId="0" applyNumberFormat="1" applyFont="1" applyBorder="1" applyAlignment="1">
      <alignment horizontal="center"/>
    </xf>
    <xf numFmtId="1" fontId="4" fillId="0" borderId="13" xfId="0" applyNumberFormat="1" applyFont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11" borderId="5" xfId="0" applyFill="1" applyBorder="1" applyAlignment="1">
      <alignment horizontal="center"/>
    </xf>
    <xf numFmtId="0" fontId="0" fillId="11" borderId="10" xfId="0" applyFill="1" applyBorder="1" applyAlignment="1">
      <alignment horizontal="center"/>
    </xf>
    <xf numFmtId="0" fontId="0" fillId="0" borderId="5" xfId="0" applyBorder="1"/>
    <xf numFmtId="0" fontId="0" fillId="0" borderId="10" xfId="0" applyBorder="1"/>
    <xf numFmtId="0" fontId="0" fillId="2" borderId="5" xfId="0" applyFill="1" applyBorder="1"/>
    <xf numFmtId="0" fontId="0" fillId="2" borderId="10" xfId="0" applyFill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165" fontId="3" fillId="0" borderId="5" xfId="0" applyNumberFormat="1" applyFont="1" applyBorder="1" applyAlignment="1">
      <alignment horizontal="center"/>
    </xf>
    <xf numFmtId="165" fontId="3" fillId="0" borderId="0" xfId="0" applyNumberFormat="1" applyFont="1" applyBorder="1" applyAlignment="1">
      <alignment horizontal="center"/>
    </xf>
    <xf numFmtId="165" fontId="3" fillId="0" borderId="10" xfId="0" applyNumberFormat="1" applyFont="1" applyBorder="1" applyAlignment="1">
      <alignment horizontal="center"/>
    </xf>
    <xf numFmtId="165" fontId="3" fillId="0" borderId="11" xfId="0" applyNumberFormat="1" applyFont="1" applyBorder="1" applyAlignment="1">
      <alignment horizontal="center"/>
    </xf>
    <xf numFmtId="165" fontId="3" fillId="0" borderId="12" xfId="0" applyNumberFormat="1" applyFont="1" applyBorder="1" applyAlignment="1">
      <alignment horizontal="center"/>
    </xf>
    <xf numFmtId="165" fontId="3" fillId="0" borderId="13" xfId="0" applyNumberFormat="1" applyFont="1" applyBorder="1" applyAlignment="1">
      <alignment horizontal="center"/>
    </xf>
    <xf numFmtId="0" fontId="0" fillId="13" borderId="0" xfId="0" applyFill="1" applyAlignment="1">
      <alignment horizontal="center"/>
    </xf>
    <xf numFmtId="0" fontId="6" fillId="13" borderId="0" xfId="2" applyFill="1" applyAlignment="1">
      <alignment horizontal="center"/>
    </xf>
    <xf numFmtId="0" fontId="6" fillId="14" borderId="0" xfId="2" applyFill="1" applyAlignment="1">
      <alignment horizontal="center"/>
    </xf>
    <xf numFmtId="0" fontId="6" fillId="9" borderId="6" xfId="2" applyBorder="1" applyAlignment="1">
      <alignment horizontal="center"/>
    </xf>
    <xf numFmtId="0" fontId="6" fillId="9" borderId="4" xfId="2" applyBorder="1" applyAlignment="1">
      <alignment horizontal="center"/>
    </xf>
    <xf numFmtId="0" fontId="9" fillId="10" borderId="4" xfId="4" applyAlignment="1">
      <alignment horizontal="center"/>
    </xf>
    <xf numFmtId="0" fontId="0" fillId="0" borderId="0" xfId="0" applyNumberFormat="1"/>
    <xf numFmtId="0" fontId="9" fillId="10" borderId="4" xfId="4"/>
    <xf numFmtId="0" fontId="0" fillId="0" borderId="7" xfId="0" applyFont="1" applyFill="1" applyBorder="1" applyAlignment="1">
      <alignment horizontal="left"/>
    </xf>
    <xf numFmtId="0" fontId="12" fillId="0" borderId="8" xfId="0" applyFont="1" applyBorder="1"/>
    <xf numFmtId="0" fontId="0" fillId="0" borderId="8" xfId="0" applyBorder="1"/>
    <xf numFmtId="0" fontId="0" fillId="0" borderId="9" xfId="0" applyBorder="1"/>
    <xf numFmtId="0" fontId="0" fillId="15" borderId="0" xfId="0" applyFill="1"/>
    <xf numFmtId="2" fontId="3" fillId="0" borderId="0" xfId="0" applyNumberFormat="1" applyFont="1" applyAlignment="1">
      <alignment horizontal="center"/>
    </xf>
    <xf numFmtId="0" fontId="0" fillId="6" borderId="14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7" fillId="0" borderId="16" xfId="3" applyBorder="1"/>
    <xf numFmtId="0" fontId="7" fillId="0" borderId="17" xfId="3" applyBorder="1"/>
    <xf numFmtId="0" fontId="7" fillId="0" borderId="18" xfId="3" applyBorder="1"/>
    <xf numFmtId="0" fontId="7" fillId="0" borderId="19" xfId="3" applyBorder="1"/>
    <xf numFmtId="0" fontId="7" fillId="0" borderId="20" xfId="3" applyBorder="1"/>
    <xf numFmtId="0" fontId="7" fillId="0" borderId="21" xfId="3" applyBorder="1"/>
    <xf numFmtId="0" fontId="0" fillId="0" borderId="0" xfId="0" applyFill="1" applyBorder="1"/>
    <xf numFmtId="0" fontId="14" fillId="0" borderId="0" xfId="0" applyFont="1" applyAlignment="1">
      <alignment horizontal="center"/>
    </xf>
    <xf numFmtId="0" fontId="13" fillId="16" borderId="0" xfId="5" applyAlignment="1">
      <alignment horizontal="center"/>
    </xf>
    <xf numFmtId="0" fontId="11" fillId="12" borderId="7" xfId="0" applyFont="1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0" fontId="0" fillId="12" borderId="11" xfId="0" applyFill="1" applyBorder="1" applyAlignment="1">
      <alignment horizontal="center" vertical="center"/>
    </xf>
    <xf numFmtId="0" fontId="0" fillId="12" borderId="12" xfId="0" applyFill="1" applyBorder="1" applyAlignment="1">
      <alignment horizontal="center" vertical="center"/>
    </xf>
    <xf numFmtId="0" fontId="0" fillId="12" borderId="13" xfId="0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3" borderId="10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9" xfId="0" applyFill="1" applyBorder="1" applyAlignment="1">
      <alignment horizontal="center"/>
    </xf>
  </cellXfs>
  <cellStyles count="6">
    <cellStyle name="40 % - Accent4" xfId="5" builtinId="43"/>
    <cellStyle name="Avertissement" xfId="3" builtinId="11"/>
    <cellStyle name="Calcul" xfId="4" builtinId="22"/>
    <cellStyle name="Neutre" xfId="2" builtinId="28"/>
    <cellStyle name="Normal" xfId="0" builtinId="0"/>
    <cellStyle name="Satisfaisant" xfId="1" builtinId="26"/>
  </cellStyles>
  <dxfs count="1">
    <dxf>
      <font>
        <color rgb="FFFF000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27</xdr:row>
      <xdr:rowOff>0</xdr:rowOff>
    </xdr:from>
    <xdr:to>
      <xdr:col>1</xdr:col>
      <xdr:colOff>266700</xdr:colOff>
      <xdr:row>34</xdr:row>
      <xdr:rowOff>4372</xdr:rowOff>
    </xdr:to>
    <xdr:pic>
      <xdr:nvPicPr>
        <xdr:cNvPr id="6" name="Image 5" descr="Contournag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048250"/>
          <a:ext cx="1028700" cy="1337872"/>
        </a:xfrm>
        <a:prstGeom prst="rect">
          <a:avLst/>
        </a:prstGeom>
      </xdr:spPr>
    </xdr:pic>
    <xdr:clientData/>
  </xdr:twoCellAnchor>
  <xdr:twoCellAnchor editAs="oneCell">
    <xdr:from>
      <xdr:col>1</xdr:col>
      <xdr:colOff>742950</xdr:colOff>
      <xdr:row>27</xdr:row>
      <xdr:rowOff>9525</xdr:rowOff>
    </xdr:from>
    <xdr:to>
      <xdr:col>2</xdr:col>
      <xdr:colOff>1047750</xdr:colOff>
      <xdr:row>33</xdr:row>
      <xdr:rowOff>81492</xdr:rowOff>
    </xdr:to>
    <xdr:pic>
      <xdr:nvPicPr>
        <xdr:cNvPr id="7" name="Image 6" descr="Rainurage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04950" y="5057775"/>
          <a:ext cx="1066800" cy="1214967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5</xdr:col>
      <xdr:colOff>503526</xdr:colOff>
      <xdr:row>34</xdr:row>
      <xdr:rowOff>171450</xdr:rowOff>
    </xdr:to>
    <xdr:pic>
      <xdr:nvPicPr>
        <xdr:cNvPr id="8" name="Image 7" descr="Surfaçage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95675" y="5048250"/>
          <a:ext cx="1265526" cy="1504950"/>
        </a:xfrm>
        <a:prstGeom prst="rect">
          <a:avLst/>
        </a:prstGeom>
      </xdr:spPr>
    </xdr:pic>
    <xdr:clientData/>
  </xdr:twoCellAnchor>
  <xdr:twoCellAnchor editAs="oneCell">
    <xdr:from>
      <xdr:col>5</xdr:col>
      <xdr:colOff>733425</xdr:colOff>
      <xdr:row>26</xdr:row>
      <xdr:rowOff>180975</xdr:rowOff>
    </xdr:from>
    <xdr:to>
      <xdr:col>8</xdr:col>
      <xdr:colOff>667083</xdr:colOff>
      <xdr:row>40</xdr:row>
      <xdr:rowOff>162295</xdr:rowOff>
    </xdr:to>
    <xdr:pic>
      <xdr:nvPicPr>
        <xdr:cNvPr id="5" name="Image 4" descr="Avalant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991100" y="5334000"/>
          <a:ext cx="2381583" cy="264832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27</xdr:row>
      <xdr:rowOff>0</xdr:rowOff>
    </xdr:from>
    <xdr:to>
      <xdr:col>11</xdr:col>
      <xdr:colOff>686122</xdr:colOff>
      <xdr:row>40</xdr:row>
      <xdr:rowOff>152767</xdr:rowOff>
    </xdr:to>
    <xdr:pic>
      <xdr:nvPicPr>
        <xdr:cNvPr id="9" name="Image 8" descr="Opposition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467600" y="5343525"/>
          <a:ext cx="2305372" cy="2629267"/>
        </a:xfrm>
        <a:prstGeom prst="rect">
          <a:avLst/>
        </a:prstGeom>
      </xdr:spPr>
    </xdr:pic>
    <xdr:clientData/>
  </xdr:twoCellAnchor>
  <xdr:twoCellAnchor editAs="oneCell">
    <xdr:from>
      <xdr:col>11</xdr:col>
      <xdr:colOff>695325</xdr:colOff>
      <xdr:row>27</xdr:row>
      <xdr:rowOff>9525</xdr:rowOff>
    </xdr:from>
    <xdr:to>
      <xdr:col>18</xdr:col>
      <xdr:colOff>38753</xdr:colOff>
      <xdr:row>40</xdr:row>
      <xdr:rowOff>345</xdr:rowOff>
    </xdr:to>
    <xdr:pic>
      <xdr:nvPicPr>
        <xdr:cNvPr id="10" name="Image 9" descr="ChxNbZ.pn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782175" y="5391150"/>
          <a:ext cx="4677428" cy="246732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38</xdr:row>
      <xdr:rowOff>0</xdr:rowOff>
    </xdr:from>
    <xdr:to>
      <xdr:col>2</xdr:col>
      <xdr:colOff>323851</xdr:colOff>
      <xdr:row>45</xdr:row>
      <xdr:rowOff>64355</xdr:rowOff>
    </xdr:to>
    <xdr:pic>
      <xdr:nvPicPr>
        <xdr:cNvPr id="11" name="Image 10" descr="TypCoup.pn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" y="7439025"/>
          <a:ext cx="1847850" cy="1397855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38</xdr:row>
      <xdr:rowOff>0</xdr:rowOff>
    </xdr:from>
    <xdr:to>
      <xdr:col>5</xdr:col>
      <xdr:colOff>624841</xdr:colOff>
      <xdr:row>45</xdr:row>
      <xdr:rowOff>9525</xdr:rowOff>
    </xdr:to>
    <xdr:pic>
      <xdr:nvPicPr>
        <xdr:cNvPr id="12" name="Image 11" descr="ae.pn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733676" y="7439025"/>
          <a:ext cx="2148840" cy="1343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R41"/>
  <sheetViews>
    <sheetView workbookViewId="0">
      <selection activeCell="D22" sqref="D22"/>
    </sheetView>
  </sheetViews>
  <sheetFormatPr baseColWidth="10" defaultRowHeight="15"/>
  <cols>
    <col min="3" max="3" width="18.140625" customWidth="1"/>
    <col min="6" max="6" width="11.7109375" customWidth="1"/>
    <col min="7" max="7" width="13.5703125" customWidth="1"/>
    <col min="10" max="10" width="12.85546875" customWidth="1"/>
  </cols>
  <sheetData>
    <row r="2" spans="1:18" ht="23.25">
      <c r="E2" s="19" t="s">
        <v>56</v>
      </c>
    </row>
    <row r="4" spans="1:18">
      <c r="A4" s="66" t="s">
        <v>7</v>
      </c>
      <c r="D4" s="10" t="s">
        <v>5</v>
      </c>
      <c r="E4" s="10" t="s">
        <v>21</v>
      </c>
      <c r="F4" s="10" t="s">
        <v>121</v>
      </c>
      <c r="G4" s="10" t="s">
        <v>120</v>
      </c>
      <c r="H4" s="10" t="s">
        <v>22</v>
      </c>
      <c r="I4" s="10" t="s">
        <v>23</v>
      </c>
      <c r="J4" s="10" t="s">
        <v>24</v>
      </c>
      <c r="K4" s="10" t="s">
        <v>39</v>
      </c>
      <c r="L4" s="10" t="s">
        <v>38</v>
      </c>
      <c r="M4" s="10" t="s">
        <v>25</v>
      </c>
      <c r="O4" s="60" t="s">
        <v>5</v>
      </c>
      <c r="P4" s="61" t="s">
        <v>88</v>
      </c>
      <c r="Q4" s="62"/>
      <c r="R4" s="63"/>
    </row>
    <row r="5" spans="1:18">
      <c r="A5" s="67">
        <v>14000</v>
      </c>
      <c r="C5" s="11" t="s">
        <v>26</v>
      </c>
      <c r="D5" s="2"/>
      <c r="E5" s="3"/>
      <c r="F5" s="3"/>
      <c r="G5" s="3"/>
      <c r="H5" s="4"/>
      <c r="I5" s="4"/>
      <c r="J5" s="3"/>
      <c r="K5" s="4"/>
      <c r="L5" s="5"/>
      <c r="M5" s="4"/>
      <c r="O5" s="39" t="s">
        <v>90</v>
      </c>
      <c r="P5" s="35" t="s">
        <v>89</v>
      </c>
      <c r="Q5" s="35"/>
      <c r="R5" s="40"/>
    </row>
    <row r="6" spans="1:18">
      <c r="A6" s="1"/>
      <c r="C6" s="11" t="s">
        <v>27</v>
      </c>
      <c r="D6" s="6"/>
      <c r="E6" s="3"/>
      <c r="F6" s="3"/>
      <c r="G6" s="7"/>
      <c r="H6" s="3"/>
      <c r="I6" s="3"/>
      <c r="J6" s="4"/>
      <c r="K6" s="4"/>
      <c r="L6" s="5"/>
      <c r="M6" s="4"/>
      <c r="O6" s="39" t="s">
        <v>22</v>
      </c>
      <c r="P6" s="35" t="s">
        <v>91</v>
      </c>
      <c r="Q6" s="35"/>
      <c r="R6" s="40"/>
    </row>
    <row r="7" spans="1:18">
      <c r="A7" s="1"/>
      <c r="C7" s="11" t="s">
        <v>28</v>
      </c>
      <c r="D7" s="6"/>
      <c r="E7" s="3"/>
      <c r="F7" s="3"/>
      <c r="G7" s="7"/>
      <c r="H7" s="3"/>
      <c r="I7" s="3"/>
      <c r="J7" s="4"/>
      <c r="K7" s="3"/>
      <c r="L7" s="5"/>
      <c r="M7" s="3"/>
      <c r="O7" s="39" t="s">
        <v>57</v>
      </c>
      <c r="P7" s="35" t="s">
        <v>92</v>
      </c>
      <c r="Q7" s="35"/>
      <c r="R7" s="40"/>
    </row>
    <row r="8" spans="1:18">
      <c r="C8" s="11" t="s">
        <v>29</v>
      </c>
      <c r="D8" s="6"/>
      <c r="E8" s="3"/>
      <c r="F8" s="3"/>
      <c r="G8" s="4"/>
      <c r="H8" s="7"/>
      <c r="I8" s="7"/>
      <c r="J8" s="4"/>
      <c r="K8" s="4"/>
      <c r="L8" s="5"/>
      <c r="M8" s="4"/>
      <c r="O8" s="39" t="s">
        <v>58</v>
      </c>
      <c r="P8" s="35" t="s">
        <v>62</v>
      </c>
      <c r="Q8" s="35"/>
      <c r="R8" s="40"/>
    </row>
    <row r="9" spans="1:18">
      <c r="C9" s="11" t="s">
        <v>30</v>
      </c>
      <c r="D9" s="6"/>
      <c r="E9" s="3"/>
      <c r="F9" s="3"/>
      <c r="G9" s="7"/>
      <c r="H9" s="7"/>
      <c r="I9" s="4"/>
      <c r="J9" s="4"/>
      <c r="K9" s="3"/>
      <c r="L9" s="5"/>
      <c r="M9" s="7"/>
      <c r="O9" s="39" t="s">
        <v>59</v>
      </c>
      <c r="P9" s="35" t="s">
        <v>63</v>
      </c>
      <c r="Q9" s="35"/>
      <c r="R9" s="40"/>
    </row>
    <row r="10" spans="1:18">
      <c r="C10" s="11" t="s">
        <v>31</v>
      </c>
      <c r="D10" s="6"/>
      <c r="E10" s="3"/>
      <c r="F10" s="3"/>
      <c r="G10" s="7"/>
      <c r="H10" s="4"/>
      <c r="I10" s="4"/>
      <c r="J10" s="4"/>
      <c r="K10" s="4"/>
      <c r="L10" s="8"/>
      <c r="M10" s="4"/>
      <c r="O10" s="39" t="s">
        <v>60</v>
      </c>
      <c r="P10" s="74" t="s">
        <v>119</v>
      </c>
      <c r="Q10" s="35"/>
      <c r="R10" s="40"/>
    </row>
    <row r="11" spans="1:18">
      <c r="C11" s="11" t="s">
        <v>32</v>
      </c>
      <c r="D11" s="6"/>
      <c r="E11" s="3"/>
      <c r="F11" s="3"/>
      <c r="G11" s="7"/>
      <c r="H11" s="7"/>
      <c r="I11" s="7"/>
      <c r="J11" s="4"/>
      <c r="K11" s="7"/>
      <c r="L11" s="9"/>
      <c r="M11" s="7"/>
      <c r="O11" s="39" t="s">
        <v>61</v>
      </c>
      <c r="P11" s="35" t="s">
        <v>74</v>
      </c>
      <c r="Q11" s="35"/>
      <c r="R11" s="40"/>
    </row>
    <row r="12" spans="1:18">
      <c r="C12" s="11" t="s">
        <v>33</v>
      </c>
      <c r="D12" s="2"/>
      <c r="E12" s="4"/>
      <c r="F12" s="4"/>
      <c r="G12" s="4"/>
      <c r="H12" s="4"/>
      <c r="I12" s="7"/>
      <c r="J12" s="4"/>
      <c r="K12" s="3"/>
      <c r="L12" s="5"/>
      <c r="M12" s="3"/>
      <c r="O12" s="39" t="s">
        <v>64</v>
      </c>
      <c r="P12" s="35" t="s">
        <v>65</v>
      </c>
      <c r="Q12" s="35"/>
      <c r="R12" s="40"/>
    </row>
    <row r="13" spans="1:18">
      <c r="C13" s="11" t="s">
        <v>37</v>
      </c>
      <c r="D13" s="2"/>
      <c r="E13" s="4"/>
      <c r="F13" s="4"/>
      <c r="G13" s="4"/>
      <c r="H13" s="4"/>
      <c r="I13" s="7"/>
      <c r="J13" s="4"/>
      <c r="K13" s="3"/>
      <c r="L13" s="5"/>
      <c r="M13" s="3"/>
      <c r="O13" s="39" t="s">
        <v>66</v>
      </c>
      <c r="P13" s="35" t="s">
        <v>67</v>
      </c>
      <c r="Q13" s="35"/>
      <c r="R13" s="40"/>
    </row>
    <row r="14" spans="1:18">
      <c r="C14" s="11" t="s">
        <v>34</v>
      </c>
      <c r="D14" s="6"/>
      <c r="E14" s="3"/>
      <c r="F14" s="3"/>
      <c r="G14" s="4"/>
      <c r="H14" s="7"/>
      <c r="I14" s="7"/>
      <c r="J14" s="7"/>
      <c r="K14" s="7"/>
      <c r="L14" s="9"/>
      <c r="M14" s="4"/>
      <c r="O14" s="39" t="s">
        <v>68</v>
      </c>
      <c r="P14" s="35" t="s">
        <v>69</v>
      </c>
      <c r="Q14" s="35"/>
      <c r="R14" s="40"/>
    </row>
    <row r="15" spans="1:18">
      <c r="C15" s="11" t="s">
        <v>35</v>
      </c>
      <c r="D15" s="6"/>
      <c r="E15" s="7"/>
      <c r="F15" s="7"/>
      <c r="G15" s="4"/>
      <c r="H15" s="3"/>
      <c r="I15" s="3"/>
      <c r="J15" s="7"/>
      <c r="K15" s="3"/>
      <c r="L15" s="5"/>
      <c r="M15" s="3"/>
      <c r="O15" s="39" t="s">
        <v>70</v>
      </c>
      <c r="P15" s="35" t="s">
        <v>71</v>
      </c>
      <c r="Q15" s="35"/>
      <c r="R15" s="40"/>
    </row>
    <row r="16" spans="1:18">
      <c r="C16" s="11" t="s">
        <v>36</v>
      </c>
      <c r="D16" s="6"/>
      <c r="E16" s="3"/>
      <c r="F16" s="3"/>
      <c r="G16" s="4"/>
      <c r="H16" s="7"/>
      <c r="I16" s="7"/>
      <c r="J16" s="4"/>
      <c r="K16" s="4"/>
      <c r="L16" s="9"/>
      <c r="M16" s="4"/>
      <c r="O16" s="43"/>
      <c r="P16" s="44"/>
      <c r="Q16" s="44"/>
      <c r="R16" s="45"/>
    </row>
    <row r="19" spans="1:17">
      <c r="C19" s="77" t="s">
        <v>87</v>
      </c>
      <c r="D19" s="78"/>
      <c r="E19" s="78"/>
      <c r="F19" s="78"/>
      <c r="G19" s="79"/>
      <c r="K19" s="92" t="s">
        <v>85</v>
      </c>
      <c r="L19" s="93"/>
      <c r="M19" s="94"/>
      <c r="O19" s="92" t="s">
        <v>86</v>
      </c>
      <c r="P19" s="93"/>
      <c r="Q19" s="94"/>
    </row>
    <row r="20" spans="1:17">
      <c r="C20" s="80"/>
      <c r="D20" s="81"/>
      <c r="E20" s="81"/>
      <c r="F20" s="81"/>
      <c r="G20" s="82"/>
      <c r="K20" s="83" t="s">
        <v>16</v>
      </c>
      <c r="L20" s="84"/>
      <c r="M20" s="85"/>
      <c r="O20" s="89" t="s">
        <v>80</v>
      </c>
      <c r="P20" s="90"/>
      <c r="Q20" s="91"/>
    </row>
    <row r="21" spans="1:17">
      <c r="C21" s="12" t="s">
        <v>46</v>
      </c>
      <c r="D21" s="12" t="s">
        <v>13</v>
      </c>
      <c r="E21" s="12" t="s">
        <v>12</v>
      </c>
      <c r="F21" s="12" t="s">
        <v>0</v>
      </c>
      <c r="G21" s="12" t="s">
        <v>1</v>
      </c>
      <c r="I21" s="12" t="s">
        <v>45</v>
      </c>
      <c r="K21" s="24" t="s">
        <v>17</v>
      </c>
      <c r="L21" s="25" t="s">
        <v>18</v>
      </c>
      <c r="M21" s="26" t="s">
        <v>19</v>
      </c>
      <c r="O21" s="37" t="s">
        <v>81</v>
      </c>
      <c r="P21" s="34" t="s">
        <v>82</v>
      </c>
      <c r="Q21" s="38" t="s">
        <v>84</v>
      </c>
    </row>
    <row r="22" spans="1:17" ht="18.75">
      <c r="C22" s="1" t="s">
        <v>48</v>
      </c>
      <c r="D22" s="1" t="s">
        <v>14</v>
      </c>
      <c r="E22" s="20">
        <v>5</v>
      </c>
      <c r="F22" s="21">
        <v>2</v>
      </c>
      <c r="G22" s="75" t="s">
        <v>96</v>
      </c>
      <c r="I22" s="65">
        <f>IF((Données!D20=2),0,Données!K20)</f>
        <v>33</v>
      </c>
      <c r="K22" s="27">
        <f>(1000*Données!I20)/(3.14*E22)</f>
        <v>7324.8407643312094</v>
      </c>
      <c r="L22" s="28">
        <f>IF((D22="Diamant"),K22*4*Données!C23,K22*F22*Données!C23)</f>
        <v>2373.248407643312</v>
      </c>
      <c r="M22" s="29">
        <f>(Calcul!L22/Données!F23)</f>
        <v>791.08280254777071</v>
      </c>
      <c r="O22" s="46">
        <f>K22/60</f>
        <v>122.08067940552016</v>
      </c>
      <c r="P22" s="47">
        <f>L22/60</f>
        <v>39.554140127388536</v>
      </c>
      <c r="Q22" s="48">
        <f>M22/60</f>
        <v>13.184713375796179</v>
      </c>
    </row>
    <row r="23" spans="1:17" ht="15.75" thickBot="1">
      <c r="I23" s="13"/>
      <c r="K23" s="86" t="s">
        <v>40</v>
      </c>
      <c r="L23" s="87"/>
      <c r="M23" s="88"/>
      <c r="O23" s="89" t="s">
        <v>40</v>
      </c>
      <c r="P23" s="90"/>
      <c r="Q23" s="91"/>
    </row>
    <row r="24" spans="1:17" ht="15.75" thickTop="1">
      <c r="C24" s="68" t="s">
        <v>116</v>
      </c>
      <c r="D24" s="69"/>
      <c r="E24" s="69"/>
      <c r="F24" s="69"/>
      <c r="G24" s="70"/>
      <c r="K24" s="30" t="s">
        <v>10</v>
      </c>
      <c r="L24" s="25" t="s">
        <v>20</v>
      </c>
      <c r="M24" s="26" t="s">
        <v>19</v>
      </c>
      <c r="O24" s="41" t="s">
        <v>81</v>
      </c>
      <c r="P24" s="36" t="s">
        <v>82</v>
      </c>
      <c r="Q24" s="42" t="s">
        <v>83</v>
      </c>
    </row>
    <row r="25" spans="1:17" ht="19.5" thickBot="1">
      <c r="B25" s="1"/>
      <c r="C25" s="71" t="s">
        <v>117</v>
      </c>
      <c r="D25" s="72"/>
      <c r="E25" s="72"/>
      <c r="F25" s="72"/>
      <c r="G25" s="73"/>
      <c r="K25" s="31">
        <f>IF(K22&lt;A5,K22,A5)</f>
        <v>7324.8407643312094</v>
      </c>
      <c r="L25" s="32">
        <f>IF((D22="Diamant"),K25*4*Données!C23,K25*F22*Données!C23)</f>
        <v>2373.248407643312</v>
      </c>
      <c r="M25" s="33">
        <f>(Calcul!L25/Données!F23)</f>
        <v>791.08280254777071</v>
      </c>
      <c r="O25" s="49">
        <f>K25/60</f>
        <v>122.08067940552016</v>
      </c>
      <c r="P25" s="50">
        <f>L25/60</f>
        <v>39.554140127388536</v>
      </c>
      <c r="Q25" s="51">
        <f>M25/60</f>
        <v>13.184713375796179</v>
      </c>
    </row>
    <row r="26" spans="1:17" ht="15.75" thickTop="1">
      <c r="B26" s="1"/>
    </row>
    <row r="27" spans="1:17">
      <c r="A27" s="17" t="s">
        <v>54</v>
      </c>
      <c r="B27" s="1"/>
      <c r="C27" s="18" t="s">
        <v>48</v>
      </c>
      <c r="E27" s="18" t="s">
        <v>47</v>
      </c>
      <c r="I27" s="22" t="s">
        <v>72</v>
      </c>
      <c r="O27" s="22" t="s">
        <v>73</v>
      </c>
    </row>
    <row r="28" spans="1:17">
      <c r="B28" s="1"/>
    </row>
    <row r="29" spans="1:17">
      <c r="B29" s="1"/>
    </row>
    <row r="30" spans="1:17">
      <c r="B30" s="1"/>
    </row>
    <row r="31" spans="1:17">
      <c r="B31" s="1"/>
    </row>
    <row r="32" spans="1:17">
      <c r="B32" s="1"/>
    </row>
    <row r="33" spans="1:3">
      <c r="B33" s="1"/>
    </row>
    <row r="34" spans="1:3">
      <c r="B34" s="1"/>
    </row>
    <row r="35" spans="1:3">
      <c r="B35" s="1"/>
      <c r="C35" t="s">
        <v>78</v>
      </c>
    </row>
    <row r="36" spans="1:3">
      <c r="C36" t="s">
        <v>79</v>
      </c>
    </row>
    <row r="37" spans="1:3">
      <c r="A37" s="22" t="s">
        <v>75</v>
      </c>
    </row>
    <row r="38" spans="1:3">
      <c r="A38" s="23" t="s">
        <v>76</v>
      </c>
      <c r="B38" s="22" t="s">
        <v>77</v>
      </c>
    </row>
    <row r="41" spans="1:3">
      <c r="C41" s="1"/>
    </row>
  </sheetData>
  <mergeCells count="7">
    <mergeCell ref="C19:G20"/>
    <mergeCell ref="K20:M20"/>
    <mergeCell ref="K23:M23"/>
    <mergeCell ref="O20:Q20"/>
    <mergeCell ref="O23:Q23"/>
    <mergeCell ref="K19:M19"/>
    <mergeCell ref="O19:Q19"/>
  </mergeCells>
  <conditionalFormatting sqref="F22">
    <cfRule type="expression" dxfId="0" priority="2">
      <formula>($D$22="Diamant")</formula>
    </cfRule>
  </conditionalFormatting>
  <dataValidations count="5">
    <dataValidation type="list" allowBlank="1" showInputMessage="1" showErrorMessage="1" sqref="G22">
      <formula1>Matière</formula1>
    </dataValidation>
    <dataValidation type="list" allowBlank="1" showInputMessage="1" showErrorMessage="1" sqref="F22">
      <formula1>Dents</formula1>
    </dataValidation>
    <dataValidation type="list" allowBlank="1" showInputMessage="1" showErrorMessage="1" promptTitle="D Fraise" sqref="E22">
      <formula1>Outil</formula1>
    </dataValidation>
    <dataValidation type="list" allowBlank="1" showInputMessage="1" showErrorMessage="1" sqref="D22">
      <formula1>TypOut</formula1>
    </dataValidation>
    <dataValidation type="list" allowBlank="1" showInputMessage="1" showErrorMessage="1" sqref="C22">
      <formula1>TypOp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6"/>
  <sheetViews>
    <sheetView topLeftCell="D1" workbookViewId="0">
      <selection activeCell="V9" sqref="V9"/>
    </sheetView>
  </sheetViews>
  <sheetFormatPr baseColWidth="10" defaultRowHeight="15"/>
  <cols>
    <col min="1" max="1" width="12.7109375" customWidth="1"/>
    <col min="7" max="7" width="18.140625" customWidth="1"/>
  </cols>
  <sheetData>
    <row r="1" spans="1:25">
      <c r="A1" s="53" t="s">
        <v>46</v>
      </c>
      <c r="B1" s="56" t="s">
        <v>49</v>
      </c>
      <c r="C1" s="54" t="s">
        <v>13</v>
      </c>
      <c r="D1" s="56" t="s">
        <v>50</v>
      </c>
      <c r="E1" s="54" t="s">
        <v>12</v>
      </c>
      <c r="F1" s="15" t="s">
        <v>0</v>
      </c>
      <c r="G1" s="54" t="s">
        <v>1</v>
      </c>
      <c r="H1" s="54" t="s">
        <v>6</v>
      </c>
      <c r="I1" s="55" t="s">
        <v>55</v>
      </c>
      <c r="J1" s="54" t="s">
        <v>11</v>
      </c>
      <c r="K1" s="15" t="s">
        <v>93</v>
      </c>
      <c r="L1" s="53" t="s">
        <v>101</v>
      </c>
      <c r="M1" s="15" t="s">
        <v>102</v>
      </c>
      <c r="N1" s="52" t="s">
        <v>103</v>
      </c>
      <c r="O1" s="15" t="s">
        <v>104</v>
      </c>
      <c r="P1" s="52" t="s">
        <v>105</v>
      </c>
      <c r="Q1" s="15" t="s">
        <v>106</v>
      </c>
      <c r="R1" s="52" t="s">
        <v>107</v>
      </c>
      <c r="S1" s="15" t="s">
        <v>108</v>
      </c>
      <c r="T1" s="52" t="s">
        <v>109</v>
      </c>
      <c r="U1" s="15" t="s">
        <v>110</v>
      </c>
      <c r="V1" s="52" t="s">
        <v>111</v>
      </c>
      <c r="W1" s="15" t="s">
        <v>112</v>
      </c>
      <c r="X1" s="52" t="s">
        <v>113</v>
      </c>
      <c r="Y1" s="15" t="s">
        <v>114</v>
      </c>
    </row>
    <row r="2" spans="1:25">
      <c r="A2" s="1" t="s">
        <v>47</v>
      </c>
      <c r="B2">
        <f>IF(Calcul!C22=Données!A2,1,0)</f>
        <v>0</v>
      </c>
      <c r="C2" s="1" t="s">
        <v>14</v>
      </c>
      <c r="D2">
        <f>IF(Calcul!D22=Données!C2,1,0)</f>
        <v>1</v>
      </c>
      <c r="E2" s="20">
        <v>1</v>
      </c>
      <c r="F2" s="1">
        <v>1</v>
      </c>
      <c r="G2" s="1" t="s">
        <v>3</v>
      </c>
      <c r="H2" s="1">
        <v>450</v>
      </c>
      <c r="I2">
        <f>IF(Calcul!G22=Données!G2,Données!H2,0)</f>
        <v>0</v>
      </c>
      <c r="J2" s="1">
        <v>10</v>
      </c>
      <c r="K2">
        <f>IF((Calcul!G22=Données!G2), Données!J2*Données!A23, 0)</f>
        <v>0</v>
      </c>
      <c r="L2">
        <v>2E-3</v>
      </c>
      <c r="M2">
        <f>IF(Calcul!E22=Données!E2,Données!L2,0)</f>
        <v>0</v>
      </c>
      <c r="N2">
        <v>6.0000000000000001E-3</v>
      </c>
      <c r="O2">
        <f>IF(Calcul!E22=Données!E2,Données!N2,0)</f>
        <v>0</v>
      </c>
      <c r="P2">
        <v>0.01</v>
      </c>
      <c r="Q2">
        <f>IF(Calcul!E22=Données!E2,Données!P2,0)</f>
        <v>0</v>
      </c>
      <c r="R2">
        <v>0.01</v>
      </c>
      <c r="S2">
        <f>IF(Calcul!E22=Données!E2,Données!R2,0)</f>
        <v>0</v>
      </c>
      <c r="T2">
        <v>4.0000000000000001E-3</v>
      </c>
      <c r="U2">
        <f>IF(Calcul!E22=Données!E2,Données!T2,0)</f>
        <v>0</v>
      </c>
      <c r="V2">
        <v>2.7E-2</v>
      </c>
      <c r="W2">
        <f>IF(Calcul!E22=Données!E2,Données!V2,0)</f>
        <v>0</v>
      </c>
      <c r="X2">
        <v>5.0000000000000001E-3</v>
      </c>
      <c r="Y2">
        <f>IF(Calcul!E22=Données!E2,Données!X2,0)</f>
        <v>0</v>
      </c>
    </row>
    <row r="3" spans="1:25">
      <c r="A3" s="1" t="s">
        <v>51</v>
      </c>
      <c r="B3">
        <f>IF(Calcul!C22=Données!A3,2,0)</f>
        <v>0</v>
      </c>
      <c r="C3" s="1" t="s">
        <v>15</v>
      </c>
      <c r="D3">
        <f>IF(Calcul!D22=Données!C3,2,0)</f>
        <v>0</v>
      </c>
      <c r="E3" s="20">
        <v>1.5</v>
      </c>
      <c r="F3" s="1">
        <v>2</v>
      </c>
      <c r="G3" s="1" t="s">
        <v>4</v>
      </c>
      <c r="H3" s="1">
        <v>350</v>
      </c>
      <c r="I3">
        <f>IF(Calcul!G22=Données!G3,Données!H3,0)</f>
        <v>0</v>
      </c>
      <c r="J3" s="1">
        <v>8</v>
      </c>
      <c r="K3">
        <f>IF(Calcul!G22=Données!G3, Données!J3*Données!A23, 0)</f>
        <v>0</v>
      </c>
      <c r="L3">
        <v>2.5000000000000001E-3</v>
      </c>
      <c r="M3">
        <f>IF(Calcul!E22=Données!E3,Données!L3,0)</f>
        <v>0</v>
      </c>
      <c r="N3">
        <v>1.2E-2</v>
      </c>
      <c r="O3">
        <f>IF(Calcul!E22=Données!E3,Données!N3,0)</f>
        <v>0</v>
      </c>
      <c r="P3">
        <v>1.4999999999999999E-2</v>
      </c>
      <c r="Q3">
        <f>IF(Calcul!E22=Données!E3,Données!P3,0)</f>
        <v>0</v>
      </c>
      <c r="R3">
        <v>1.2999999999999999E-2</v>
      </c>
      <c r="S3">
        <f>IF(Calcul!E22=Données!E3,Données!R3,0)</f>
        <v>0</v>
      </c>
      <c r="T3">
        <v>6.0000000000000001E-3</v>
      </c>
      <c r="U3">
        <f>IF(Calcul!E22=Données!E3,Données!T3,0)</f>
        <v>0</v>
      </c>
      <c r="V3">
        <v>3.5999999999999997E-2</v>
      </c>
      <c r="W3">
        <f>IF(Calcul!E22=Données!E3,Données!V3,0)</f>
        <v>0</v>
      </c>
      <c r="X3">
        <v>6.0000000000000001E-3</v>
      </c>
      <c r="Y3">
        <f>IF(Calcul!E22=Données!E3,Données!X3,0)</f>
        <v>0</v>
      </c>
    </row>
    <row r="4" spans="1:25">
      <c r="A4" s="1" t="s">
        <v>48</v>
      </c>
      <c r="B4">
        <f>IF(Calcul!C22=Données!A4,3,0)</f>
        <v>3</v>
      </c>
      <c r="C4" s="1" t="s">
        <v>2</v>
      </c>
      <c r="D4">
        <f>IF(Calcul!D22=Données!C4,3,0)</f>
        <v>0</v>
      </c>
      <c r="E4" s="20">
        <v>2</v>
      </c>
      <c r="F4" s="1">
        <v>3</v>
      </c>
      <c r="G4" s="1" t="s">
        <v>5</v>
      </c>
      <c r="H4" s="1">
        <v>400</v>
      </c>
      <c r="I4">
        <f>IF(Calcul!G22=Données!G4, Données!H4,0)</f>
        <v>0</v>
      </c>
      <c r="J4" s="1">
        <v>6</v>
      </c>
      <c r="K4">
        <f>IF(Calcul!G22=Données!G4, Données!J4*Données!A23, 0)</f>
        <v>0</v>
      </c>
      <c r="L4">
        <v>4.0000000000000001E-3</v>
      </c>
      <c r="M4">
        <f>IF(Calcul!E22=Données!E4,Données!L4,0)</f>
        <v>0</v>
      </c>
      <c r="N4">
        <v>2.1999999999999999E-2</v>
      </c>
      <c r="O4">
        <f>IF(Calcul!E22=Données!E4,Données!N4,0)</f>
        <v>0</v>
      </c>
      <c r="P4">
        <v>1.9199999999999998E-2</v>
      </c>
      <c r="Q4">
        <f>IF(Calcul!E22=Données!E4,Données!P4,0)</f>
        <v>0</v>
      </c>
      <c r="R4">
        <v>1.6E-2</v>
      </c>
      <c r="S4">
        <f>IF(Calcul!E22=Données!E4,Données!R4,0)</f>
        <v>0</v>
      </c>
      <c r="T4">
        <v>8.0000000000000002E-3</v>
      </c>
      <c r="U4">
        <f>IF(Calcul!E22=Données!E4,Données!T4,0)</f>
        <v>0</v>
      </c>
      <c r="V4">
        <v>4.4999999999999998E-2</v>
      </c>
      <c r="W4">
        <f>IF(Calcul!E22=Données!E4,Données!V4,0)</f>
        <v>0</v>
      </c>
      <c r="X4">
        <v>8.0000000000000002E-3</v>
      </c>
      <c r="Y4">
        <f>IF(Calcul!E22=Données!E4,Données!X4,0)</f>
        <v>0</v>
      </c>
    </row>
    <row r="5" spans="1:25">
      <c r="A5" s="1" t="s">
        <v>54</v>
      </c>
      <c r="B5">
        <f>IF(Calcul!C22=Données!A5,4,0)</f>
        <v>0</v>
      </c>
      <c r="E5" s="20">
        <v>2.5</v>
      </c>
      <c r="F5" s="1">
        <v>4</v>
      </c>
      <c r="G5" s="1" t="s">
        <v>97</v>
      </c>
      <c r="H5" s="1">
        <v>25</v>
      </c>
      <c r="I5">
        <f>IF(Calcul!G22=Données!G5,Données!H5,0)</f>
        <v>0</v>
      </c>
      <c r="J5" s="1">
        <v>1</v>
      </c>
      <c r="K5">
        <f>IF(Calcul!G22=Données!G5, Données!J5*Données!A23, 0)</f>
        <v>0</v>
      </c>
      <c r="L5">
        <v>6.0000000000000001E-3</v>
      </c>
      <c r="M5">
        <f>IF(Calcul!E22=Données!E5,Données!L5,0)</f>
        <v>0</v>
      </c>
      <c r="N5">
        <v>2.7E-2</v>
      </c>
      <c r="O5">
        <f>IF(Calcul!E22=Données!E5,Données!N5,0)</f>
        <v>0</v>
      </c>
      <c r="P5">
        <v>2.4199999999999999E-2</v>
      </c>
      <c r="Q5">
        <f>IF(Calcul!E22=Données!E5,Données!P5,0)</f>
        <v>0</v>
      </c>
      <c r="R5">
        <v>1.72E-2</v>
      </c>
      <c r="S5">
        <f>IF(Calcul!E22=Données!E5,Données!R5,0)</f>
        <v>0</v>
      </c>
      <c r="T5">
        <v>1.0999999999999999E-2</v>
      </c>
      <c r="U5">
        <f>IF(Calcul!E22=Données!E5,Données!T5,0)</f>
        <v>0</v>
      </c>
      <c r="V5">
        <v>5.3999999999999999E-2</v>
      </c>
      <c r="W5">
        <f>IF(Calcul!E22=Données!E5,Données!V5,0)</f>
        <v>0</v>
      </c>
      <c r="X5">
        <v>0.01</v>
      </c>
      <c r="Y5">
        <f>IF(Calcul!E22=Données!E5,Données!X5,0)</f>
        <v>0</v>
      </c>
    </row>
    <row r="6" spans="1:25">
      <c r="E6" s="20">
        <v>3</v>
      </c>
      <c r="G6" s="1" t="s">
        <v>122</v>
      </c>
      <c r="H6" s="1">
        <v>60</v>
      </c>
      <c r="I6">
        <f>IF(Calcul!G22=Données!G6,Données!H6,0)</f>
        <v>0</v>
      </c>
      <c r="J6" s="1">
        <v>1.05</v>
      </c>
      <c r="K6">
        <f>IF(Calcul!G22=Données!G6, Données!J6*Données!A23, 0)</f>
        <v>0</v>
      </c>
      <c r="L6">
        <v>8.0000000000000002E-3</v>
      </c>
      <c r="M6">
        <f>IF(Calcul!E22=Données!E6,Données!L6,0)</f>
        <v>0</v>
      </c>
      <c r="N6">
        <v>3.3099999999999997E-2</v>
      </c>
      <c r="O6">
        <f>IF(Calcul!E22=Données!E6,Données!N6,0)</f>
        <v>0</v>
      </c>
      <c r="P6">
        <v>2.8799999999999999E-2</v>
      </c>
      <c r="Q6">
        <f>IF(Calcul!E22=Données!E6,Données!P6,0)</f>
        <v>0</v>
      </c>
      <c r="R6">
        <v>1.84E-2</v>
      </c>
      <c r="S6">
        <f>IF(Calcul!E22=Données!E6,Données!R6,0)</f>
        <v>0</v>
      </c>
      <c r="T6">
        <v>1.4999999999999999E-2</v>
      </c>
      <c r="U6">
        <f>IF(Calcul!E22=Données!E6,Données!T6,0)</f>
        <v>0</v>
      </c>
      <c r="V6">
        <v>6.3E-2</v>
      </c>
      <c r="W6">
        <f>IF(Calcul!E22=Données!E6,Données!V6,0)</f>
        <v>0</v>
      </c>
      <c r="X6">
        <v>1.2E-2</v>
      </c>
      <c r="Y6">
        <f>IF(Calcul!E22=Données!E6,Données!X6,0)</f>
        <v>0</v>
      </c>
    </row>
    <row r="7" spans="1:25">
      <c r="E7" s="20">
        <v>4</v>
      </c>
      <c r="G7" s="1" t="s">
        <v>98</v>
      </c>
      <c r="H7" s="1">
        <v>70</v>
      </c>
      <c r="I7">
        <f>IF(Calcul!G22=Données!G7,Données!H7,0)</f>
        <v>0</v>
      </c>
      <c r="J7" s="1">
        <v>1</v>
      </c>
      <c r="K7">
        <f>IF(Calcul!G22=Données!G7, Données!J7*Données!A23, 0)</f>
        <v>0</v>
      </c>
      <c r="L7">
        <v>1.2999999999999999E-2</v>
      </c>
      <c r="M7">
        <f>IF(Calcul!E22=Données!E7,Données!L7,0)</f>
        <v>0</v>
      </c>
      <c r="N7">
        <v>4.41E-2</v>
      </c>
      <c r="O7">
        <f>IF(Calcul!E22=Données!E7,Données!N7,0)</f>
        <v>0</v>
      </c>
      <c r="P7">
        <v>3.8300000000000001E-2</v>
      </c>
      <c r="Q7">
        <f>IF(Calcul!E22=Données!E7,Données!P7,0)</f>
        <v>0</v>
      </c>
      <c r="R7">
        <v>2.4E-2</v>
      </c>
      <c r="S7">
        <f>IF(Calcul!E22=Données!E7,Données!R7,0)</f>
        <v>0</v>
      </c>
      <c r="T7">
        <v>0.02</v>
      </c>
      <c r="U7">
        <f>IF(Calcul!E22=Données!E7,Données!T7,0)</f>
        <v>0</v>
      </c>
      <c r="V7">
        <v>7.1999999999999995E-2</v>
      </c>
      <c r="W7">
        <f>IF(Calcul!E22=Données!E7,Données!V7,0)</f>
        <v>0</v>
      </c>
      <c r="X7">
        <v>1.4999999999999999E-2</v>
      </c>
      <c r="Y7">
        <f>IF(Calcul!E22=Données!E7,Données!X7,0)</f>
        <v>0</v>
      </c>
    </row>
    <row r="8" spans="1:25">
      <c r="E8" s="20">
        <v>5</v>
      </c>
      <c r="G8" s="1" t="s">
        <v>99</v>
      </c>
      <c r="H8" s="1">
        <v>50</v>
      </c>
      <c r="I8">
        <f>IF(Calcul!G22=Données!G8,Données!H8,0)</f>
        <v>0</v>
      </c>
      <c r="J8" s="1">
        <v>0.55000000000000004</v>
      </c>
      <c r="K8">
        <f>IF(Calcul!G22=Données!G8, Données!J8*Données!A23, 0)</f>
        <v>0</v>
      </c>
      <c r="L8">
        <v>1.7999999999999999E-2</v>
      </c>
      <c r="M8">
        <f>IF(Calcul!E22=Données!E8,Données!L8,0)</f>
        <v>1.7999999999999999E-2</v>
      </c>
      <c r="N8">
        <v>4.8500000000000001E-2</v>
      </c>
      <c r="O8">
        <f>IF(Calcul!E22=Données!E8,Données!N8,0)</f>
        <v>4.8500000000000001E-2</v>
      </c>
      <c r="P8">
        <v>4.2000000000000003E-2</v>
      </c>
      <c r="Q8">
        <f>IF(Calcul!E22=Données!E8,Données!P8,0)</f>
        <v>4.2000000000000003E-2</v>
      </c>
      <c r="R8">
        <v>3.2000000000000001E-2</v>
      </c>
      <c r="S8">
        <f>IF(Calcul!E22=Données!E8,Données!R8,0)</f>
        <v>3.2000000000000001E-2</v>
      </c>
      <c r="T8">
        <v>2.5000000000000001E-2</v>
      </c>
      <c r="U8">
        <f>IF(Calcul!E22=Données!E8,Données!T8,0)</f>
        <v>2.5000000000000001E-2</v>
      </c>
      <c r="V8">
        <v>8.1000000000000003E-2</v>
      </c>
      <c r="W8">
        <f>IF(Calcul!E22=Données!E8,Données!V8,0)</f>
        <v>8.1000000000000003E-2</v>
      </c>
      <c r="X8">
        <v>1.9E-2</v>
      </c>
      <c r="Y8">
        <f>IF(Calcul!E22=Données!E8,Données!X8,0)</f>
        <v>1.9E-2</v>
      </c>
    </row>
    <row r="9" spans="1:25">
      <c r="E9" s="20">
        <v>6</v>
      </c>
      <c r="G9" s="1" t="s">
        <v>95</v>
      </c>
      <c r="H9" s="1">
        <v>110</v>
      </c>
      <c r="I9">
        <f>IF(Calcul!G22=Données!G9,Données!H9,0)</f>
        <v>0</v>
      </c>
      <c r="J9" s="1">
        <v>6</v>
      </c>
      <c r="K9">
        <f>IF(Calcul!G22=Données!G9, Données!J9*Données!A23, 0)</f>
        <v>0</v>
      </c>
      <c r="L9">
        <v>2.4E-2</v>
      </c>
      <c r="M9">
        <f>IF(Calcul!E22=Données!E9,Données!L9,0)</f>
        <v>0</v>
      </c>
      <c r="N9">
        <v>5.2900000000000003E-2</v>
      </c>
      <c r="O9">
        <f>IF(Calcul!E22=Données!E9,Données!N9,0)</f>
        <v>0</v>
      </c>
      <c r="P9">
        <v>4.5999999999999999E-2</v>
      </c>
      <c r="Q9">
        <f>IF(Calcul!E22=Données!E9,Données!P9,0)</f>
        <v>0</v>
      </c>
      <c r="R9">
        <v>0.04</v>
      </c>
      <c r="S9">
        <f>IF(Calcul!E22=Données!E9,Données!R9,0)</f>
        <v>0</v>
      </c>
      <c r="T9">
        <v>3.5000000000000003E-2</v>
      </c>
      <c r="U9">
        <f>IF(Calcul!E22=Données!E9,Données!T9,0)</f>
        <v>0</v>
      </c>
      <c r="V9">
        <v>0.09</v>
      </c>
      <c r="W9">
        <f>IF(Calcul!E22=Données!E9,Données!V9,0)</f>
        <v>0</v>
      </c>
      <c r="X9">
        <v>2.1999999999999999E-2</v>
      </c>
      <c r="Y9">
        <f>IF(Calcul!E22=Données!E9,Données!X9,0)</f>
        <v>0</v>
      </c>
    </row>
    <row r="10" spans="1:25">
      <c r="E10" s="20">
        <v>8</v>
      </c>
      <c r="G10" s="1" t="s">
        <v>8</v>
      </c>
      <c r="H10" s="1">
        <v>90</v>
      </c>
      <c r="I10">
        <f>IF(Calcul!G22=Données!G10,Données!H10,0)</f>
        <v>0</v>
      </c>
      <c r="J10" s="1">
        <v>3</v>
      </c>
      <c r="K10">
        <f>IF(Calcul!G22=Données!G10, Données!J10*Données!A23, 0)</f>
        <v>0</v>
      </c>
      <c r="L10">
        <v>3.2000000000000001E-2</v>
      </c>
      <c r="M10">
        <f>IF(Calcul!E22=Données!E10,Données!L10,0)</f>
        <v>0</v>
      </c>
      <c r="N10">
        <v>7.0499999999999993E-2</v>
      </c>
      <c r="O10">
        <f>IF(Calcul!E22=Données!E10,Données!N10,0)</f>
        <v>0</v>
      </c>
      <c r="P10">
        <v>6.13E-2</v>
      </c>
      <c r="Q10">
        <f>IF(Calcul!E22=Données!E10,Données!P10,0)</f>
        <v>0</v>
      </c>
      <c r="R10">
        <v>5.6000000000000001E-2</v>
      </c>
      <c r="S10">
        <f>IF(Calcul!E22=Données!E10,Données!R10,0)</f>
        <v>0</v>
      </c>
      <c r="T10">
        <v>0.04</v>
      </c>
      <c r="U10">
        <f>IF(Calcul!E22=Données!E10,Données!T10,0)</f>
        <v>0</v>
      </c>
    </row>
    <row r="11" spans="1:25">
      <c r="E11" s="20">
        <v>10</v>
      </c>
      <c r="G11" s="1" t="s">
        <v>9</v>
      </c>
      <c r="H11" s="1">
        <v>100</v>
      </c>
      <c r="I11">
        <f>IF(Calcul!G22=Données!G11,Données!H11,0)</f>
        <v>0</v>
      </c>
      <c r="J11" s="1">
        <v>3.2</v>
      </c>
      <c r="K11">
        <f>IF(Calcul!G22=Données!G11, Données!J11*Données!A23, 0)</f>
        <v>0</v>
      </c>
      <c r="L11">
        <v>0.04</v>
      </c>
      <c r="M11">
        <f>IF(Calcul!E22=Données!E11,Données!L11,0)</f>
        <v>0</v>
      </c>
      <c r="N11">
        <v>9.1999999999999998E-2</v>
      </c>
      <c r="O11">
        <f>IF(Calcul!E22=Données!E11,Données!N11,0)</f>
        <v>0</v>
      </c>
      <c r="P11">
        <v>0.08</v>
      </c>
      <c r="Q11">
        <f>IF(Calcul!E22=Données!E11,Données!P11,0)</f>
        <v>0</v>
      </c>
      <c r="R11">
        <v>7.1999999999999995E-2</v>
      </c>
      <c r="S11">
        <f>IF(Calcul!E22=Données!E11,Données!R11,0)</f>
        <v>0</v>
      </c>
      <c r="T11">
        <v>0.05</v>
      </c>
      <c r="U11">
        <f>IF(Calcul!E22=Données!E11,Données!T11,0)</f>
        <v>0</v>
      </c>
    </row>
    <row r="12" spans="1:25">
      <c r="E12" s="20">
        <v>12</v>
      </c>
      <c r="G12" s="1" t="s">
        <v>96</v>
      </c>
      <c r="H12" s="1">
        <v>115</v>
      </c>
      <c r="I12">
        <f>IF(Calcul!G22=Données!G12,Données!H12,0)</f>
        <v>115</v>
      </c>
      <c r="J12" s="1">
        <v>24</v>
      </c>
      <c r="K12">
        <f>IF(Calcul!G22=Données!G12, Données!J12*Données!A23, 0)</f>
        <v>33</v>
      </c>
      <c r="L12">
        <v>4.4999999999999998E-2</v>
      </c>
      <c r="M12">
        <f>IF(Calcul!E22=Données!E12,Données!L12,0)</f>
        <v>0</v>
      </c>
      <c r="N12">
        <v>0.10100000000000001</v>
      </c>
      <c r="O12">
        <f>IF(Calcul!E22=Données!E12,Données!N12,0)</f>
        <v>0</v>
      </c>
      <c r="P12">
        <v>9.0999999999999998E-2</v>
      </c>
      <c r="Q12">
        <f>IF(Calcul!E22=Données!E12,Données!P12,0)</f>
        <v>0</v>
      </c>
      <c r="R12">
        <v>8.5000000000000006E-2</v>
      </c>
      <c r="S12">
        <f>IF(Calcul!E22=Données!E12,Données!R12,0)</f>
        <v>0</v>
      </c>
      <c r="T12">
        <v>0.06</v>
      </c>
      <c r="U12">
        <f>IF(Calcul!E22=Données!E12,Données!T12,0)</f>
        <v>0</v>
      </c>
    </row>
    <row r="13" spans="1:25">
      <c r="E13" s="20">
        <v>16</v>
      </c>
      <c r="G13" s="1" t="s">
        <v>60</v>
      </c>
      <c r="H13" s="1">
        <v>22</v>
      </c>
      <c r="I13">
        <f>IF(Calcul!G22=Données!G13,Données!H13,0)</f>
        <v>0</v>
      </c>
      <c r="J13" s="1">
        <v>2</v>
      </c>
      <c r="K13">
        <f>IF(Calcul!G22=Données!G13, Données!J13*Données!A23, 0)</f>
        <v>0</v>
      </c>
      <c r="L13">
        <v>0.05</v>
      </c>
      <c r="M13">
        <f>IF(Calcul!E22=Données!E13,Données!L13,0)</f>
        <v>0</v>
      </c>
      <c r="N13">
        <v>0.125</v>
      </c>
      <c r="O13">
        <f>IF(Calcul!E22=Données!E13,Données!N13,0)</f>
        <v>0</v>
      </c>
      <c r="P13">
        <v>0.115</v>
      </c>
      <c r="Q13">
        <f>IF(Calcul!E22=Données!E13,Données!P13,0)</f>
        <v>0</v>
      </c>
      <c r="R13">
        <v>0.10100000000000001</v>
      </c>
      <c r="S13">
        <f>IF(Calcul!E22=Données!E13,Données!R13,0)</f>
        <v>0</v>
      </c>
      <c r="T13">
        <v>0.08</v>
      </c>
      <c r="U13">
        <f>IF(Calcul!E22=Données!E13,Données!T13,0)</f>
        <v>0</v>
      </c>
    </row>
    <row r="14" spans="1:25">
      <c r="E14" s="20">
        <v>18</v>
      </c>
      <c r="G14" s="1" t="s">
        <v>121</v>
      </c>
      <c r="H14" s="1">
        <v>300</v>
      </c>
      <c r="I14">
        <f>IF(Calcul!G22=Données!G14,Données!H14,0)</f>
        <v>0</v>
      </c>
      <c r="J14" s="1">
        <v>6</v>
      </c>
      <c r="K14">
        <f>IF(Calcul!G22=Données!G14, Données!J14*Données!A23, 0)</f>
        <v>0</v>
      </c>
      <c r="L14">
        <v>5.2999999999999999E-2</v>
      </c>
      <c r="M14">
        <f>IF(Calcul!E22=Données!E14,Données!L14,0)</f>
        <v>0</v>
      </c>
      <c r="N14">
        <v>0.20100000000000001</v>
      </c>
      <c r="O14">
        <f>IF(Calcul!E22=Données!E14,Données!N14,0)</f>
        <v>0</v>
      </c>
      <c r="P14">
        <v>0.19</v>
      </c>
      <c r="Q14">
        <f>IF(Calcul!E22=Données!E14,Données!P14,0)</f>
        <v>0</v>
      </c>
      <c r="R14">
        <v>0.152</v>
      </c>
      <c r="S14">
        <f>IF(Calcul!E22=Données!E14,Données!R14,0)</f>
        <v>0</v>
      </c>
      <c r="T14">
        <v>0.1</v>
      </c>
      <c r="U14">
        <f>IF(Calcul!E224=Données!E14,Données!T14,0)</f>
        <v>0</v>
      </c>
    </row>
    <row r="15" spans="1:25">
      <c r="E15" s="20">
        <v>20</v>
      </c>
      <c r="G15" s="1" t="s">
        <v>39</v>
      </c>
      <c r="H15" s="1">
        <v>160</v>
      </c>
      <c r="I15">
        <f>IF(Calcul!G22=Données!G15,Données!H15,0)</f>
        <v>0</v>
      </c>
      <c r="J15" s="1">
        <v>1.3</v>
      </c>
      <c r="K15">
        <f>IF(Calcul!G22=Données!G15, Données!J15*Données!A23, 0)</f>
        <v>0</v>
      </c>
      <c r="L15">
        <v>5.7000000000000002E-2</v>
      </c>
      <c r="M15">
        <f>IF(Calcul!E22=Données!E15,Données!L15,0)</f>
        <v>0</v>
      </c>
      <c r="N15">
        <v>0.25</v>
      </c>
      <c r="O15">
        <f>IF(Calcul!E22=Données!E15,Données!N15,0)</f>
        <v>0</v>
      </c>
      <c r="P15">
        <v>0.21</v>
      </c>
      <c r="Q15">
        <f>IF(Calcul!E22=Données!E15,Données!P15,0)</f>
        <v>0</v>
      </c>
      <c r="R15">
        <v>0.19</v>
      </c>
      <c r="S15">
        <f>IF(Calcul!E22=Données!E15,Données!R15,0)</f>
        <v>0</v>
      </c>
      <c r="T15">
        <v>0.2</v>
      </c>
      <c r="U15">
        <f>IF(Calcul!E22=Données!E15,Données!T15,0)</f>
        <v>0</v>
      </c>
    </row>
    <row r="16" spans="1:25">
      <c r="E16" s="20">
        <v>25</v>
      </c>
      <c r="G16" s="1"/>
      <c r="H16" s="1"/>
      <c r="L16">
        <v>0.06</v>
      </c>
      <c r="M16">
        <f>IF(Calcul!E22=Données!E16,Données!L16,0)</f>
        <v>0</v>
      </c>
      <c r="N16">
        <v>0.3</v>
      </c>
      <c r="O16">
        <f>IF(Calcul!E22=Données!E16,Données!N16,0)</f>
        <v>0</v>
      </c>
      <c r="P16">
        <v>0.25</v>
      </c>
      <c r="Q16">
        <f>IF(Calcul!E22=Données!E16,Données!P16,0)</f>
        <v>0</v>
      </c>
      <c r="R16">
        <v>0.23</v>
      </c>
      <c r="S16">
        <f>IF(Calcul!E22=Données!E16,Données!R16,0)</f>
        <v>0</v>
      </c>
      <c r="T16">
        <v>0.32</v>
      </c>
      <c r="U16">
        <f>IF(Calcul!E22=Données!E16,Données!T16,0)</f>
        <v>0</v>
      </c>
    </row>
    <row r="17" spans="1:25">
      <c r="E17" s="20">
        <v>32</v>
      </c>
      <c r="G17" s="1"/>
      <c r="H17" s="1"/>
      <c r="L17">
        <v>7.0000000000000007E-2</v>
      </c>
      <c r="M17">
        <f>IF(Calcul!E22=Données!E17,Données!L17,0)</f>
        <v>0</v>
      </c>
      <c r="N17">
        <v>0.4</v>
      </c>
      <c r="O17">
        <f>IF(Calcul!E22=Données!E17,Données!N17,0)</f>
        <v>0</v>
      </c>
      <c r="P17">
        <v>0.35</v>
      </c>
      <c r="Q17">
        <f>IF(Calcul!E22=Données!E17,Données!P17,0)</f>
        <v>0</v>
      </c>
      <c r="R17">
        <v>0.3</v>
      </c>
      <c r="S17">
        <f>IF(Calcul!E22=Données!E17,Données!R17,0)</f>
        <v>0</v>
      </c>
      <c r="T17">
        <v>0.45</v>
      </c>
      <c r="U17">
        <f>IF(Calcul!E22=Données!E17,Données!T17,0)</f>
        <v>0</v>
      </c>
    </row>
    <row r="18" spans="1:25">
      <c r="E18" s="20">
        <v>40</v>
      </c>
      <c r="G18" s="1"/>
      <c r="H18" s="1"/>
      <c r="L18">
        <v>0.08</v>
      </c>
      <c r="M18">
        <f>IF(Calcul!E22=Données!E18,Données!L18,0)</f>
        <v>0</v>
      </c>
      <c r="N18">
        <v>0.5</v>
      </c>
      <c r="O18">
        <f>IF(Calcul!E22=Données!E18,Données!N18,0)</f>
        <v>0</v>
      </c>
      <c r="P18">
        <v>0.4</v>
      </c>
      <c r="Q18">
        <f>IF(Calcul!E22=Données!E18,Données!P18,0)</f>
        <v>0</v>
      </c>
      <c r="R18">
        <v>0.32</v>
      </c>
      <c r="S18">
        <f>IF(Calcul!E22=Données!E18,Données!R18,0)</f>
        <v>0</v>
      </c>
      <c r="T18">
        <v>0.52</v>
      </c>
      <c r="U18">
        <f>IF(Calcul!E22=Données!E18,Données!T18,0)</f>
        <v>0</v>
      </c>
    </row>
    <row r="19" spans="1:25">
      <c r="E19" s="1"/>
      <c r="G19" s="1"/>
      <c r="H19" s="1"/>
    </row>
    <row r="20" spans="1:25">
      <c r="A20" s="16" t="s">
        <v>52</v>
      </c>
      <c r="B20">
        <f>SUM(B2:B16)</f>
        <v>3</v>
      </c>
      <c r="C20" s="16" t="s">
        <v>41</v>
      </c>
      <c r="D20">
        <f>SUM(D2:D16)</f>
        <v>1</v>
      </c>
      <c r="H20" s="16" t="s">
        <v>42</v>
      </c>
      <c r="I20">
        <f>SUM(I2:I16)</f>
        <v>115</v>
      </c>
      <c r="J20" s="16" t="s">
        <v>44</v>
      </c>
      <c r="K20">
        <f>SUM(K2:K18)</f>
        <v>33</v>
      </c>
      <c r="L20" s="16" t="s">
        <v>43</v>
      </c>
      <c r="M20" s="64">
        <f>SUM(M2:M18)</f>
        <v>1.7999999999999999E-2</v>
      </c>
      <c r="O20" s="64">
        <f>SUM(O2:O18)</f>
        <v>4.8500000000000001E-2</v>
      </c>
      <c r="Q20" s="64">
        <f>SUM(Q2:Q18)</f>
        <v>4.2000000000000003E-2</v>
      </c>
      <c r="S20" s="64">
        <f>SUM(S2:S18)</f>
        <v>3.2000000000000001E-2</v>
      </c>
      <c r="U20" s="64">
        <f>SUM(U2:U18)</f>
        <v>2.5000000000000001E-2</v>
      </c>
      <c r="W20" s="64">
        <f>SUM(W2:W9)</f>
        <v>8.1000000000000003E-2</v>
      </c>
      <c r="Y20" s="64">
        <f>SUM(Y2:Y9)</f>
        <v>1.9E-2</v>
      </c>
    </row>
    <row r="22" spans="1:25">
      <c r="A22" s="59" t="s">
        <v>53</v>
      </c>
      <c r="B22">
        <f>IF((Données!B20=1)*AND(Calcul!E22&lt;3),0.5*0.15*Calcul!E22,0)</f>
        <v>0</v>
      </c>
      <c r="C22" s="59" t="s">
        <v>118</v>
      </c>
      <c r="D22" s="14">
        <f>IF((Données!D20=1)*AND(Calcul!G22=Données!G14),Données!L23,0)</f>
        <v>0</v>
      </c>
      <c r="F22" s="59" t="s">
        <v>100</v>
      </c>
      <c r="G22" s="76" t="s">
        <v>115</v>
      </c>
      <c r="K22">
        <f>IF(OR((Calcul!C24=Données!A6),(Calcul!C24=Données!A7)),SUM(K4:K18),Données!B12)</f>
        <v>0</v>
      </c>
      <c r="L22" s="57" t="s">
        <v>94</v>
      </c>
      <c r="M22" s="58">
        <f>IF(Calcul!G22=Données!G2,Données!Q20,0)</f>
        <v>0</v>
      </c>
    </row>
    <row r="23" spans="1:25">
      <c r="A23">
        <f>SUM(B22:B29)</f>
        <v>1.375</v>
      </c>
      <c r="B23">
        <f>IF((Données!B20=1)*AND(Calcul!E22&gt;=3),0.5*0.25*Calcul!E22,0)</f>
        <v>0</v>
      </c>
      <c r="C23" s="14">
        <f>SUM(D22:D28)</f>
        <v>8.1000000000000003E-2</v>
      </c>
      <c r="D23" s="14">
        <f>IF(D20=2,L23/0.866,0)</f>
        <v>0</v>
      </c>
      <c r="F23">
        <f>SUM(G22:G36)</f>
        <v>3</v>
      </c>
      <c r="G23">
        <f>IF(Calcul!G22=Données!G2,4,0)</f>
        <v>0</v>
      </c>
      <c r="L23" s="58">
        <f>SUM(M22:M35)</f>
        <v>8.1000000000000003E-2</v>
      </c>
      <c r="M23" s="58">
        <f>IF(Calcul!G22=Données!G3,Données!Q20,0)</f>
        <v>0</v>
      </c>
    </row>
    <row r="24" spans="1:25">
      <c r="B24">
        <f>IF(Données!B20=2,0,0)</f>
        <v>0</v>
      </c>
      <c r="D24">
        <f>IF(D20=3,L23,0)</f>
        <v>0</v>
      </c>
      <c r="G24">
        <f>IF(Calcul!G22=Données!G3,4,0)</f>
        <v>0</v>
      </c>
      <c r="M24" s="58">
        <f>IF(Calcul!G22=Données!G4,Données!O20,0)</f>
        <v>0</v>
      </c>
    </row>
    <row r="25" spans="1:25">
      <c r="B25">
        <f>IF((Données!B20=3)*AND(Calcul!E22&lt;3),1.1*0.15*Calcul!E22,0)</f>
        <v>0</v>
      </c>
      <c r="D25">
        <f>IF(D20=4,L23,0)</f>
        <v>0</v>
      </c>
      <c r="G25">
        <f>IF(Calcul!G22=Données!G4,4,0)</f>
        <v>0</v>
      </c>
      <c r="M25" s="58">
        <f>IF(Calcul!G22=Données!G5,Données!M20,0)</f>
        <v>0</v>
      </c>
    </row>
    <row r="26" spans="1:25">
      <c r="B26">
        <f>IF((Données!B20=3)*AND(Calcul!E22&gt;=3),1.1*0.25*Calcul!E22,0)</f>
        <v>1.375</v>
      </c>
      <c r="D26" s="14">
        <f>IF((Données!D20=1)*AND(Calcul!G22=Données!G3),Données!L23,0)</f>
        <v>0</v>
      </c>
      <c r="G26">
        <f>IF(Calcul!G22=Données!G5,5,0)</f>
        <v>0</v>
      </c>
      <c r="M26" s="58">
        <f>IF(Calcul!G22=Données!G6,Données!M20,0)</f>
        <v>0</v>
      </c>
    </row>
    <row r="27" spans="1:25">
      <c r="B27">
        <f>IF((Données!B20=4)*AND(Calcul!E22&gt;=3),1.5*0.25*Calcul!E22,0)</f>
        <v>0</v>
      </c>
      <c r="D27" s="14">
        <f>IF((Données!D20=1)*AND(Calcul!G22=Données!G12),Données!L23,0)</f>
        <v>8.1000000000000003E-2</v>
      </c>
      <c r="G27">
        <f>IF(Calcul!G22=Données!G6,5,0)</f>
        <v>0</v>
      </c>
      <c r="M27" s="58">
        <f>IF(Calcul!G22=Données!G7,Données!M20,0)</f>
        <v>0</v>
      </c>
    </row>
    <row r="28" spans="1:25">
      <c r="B28">
        <f>IF((Données!B20=4)*AND(Calcul!E22&lt;3),1.5*0.15*Calcul!E22,0)</f>
        <v>0</v>
      </c>
      <c r="D28" s="14">
        <f>IF((Données!D20=1)*AND(Calcul!G22=Données!G13),Données!L23,0)</f>
        <v>0</v>
      </c>
      <c r="G28">
        <f>IF(Calcul!G22=Données!G7,5,0)</f>
        <v>0</v>
      </c>
      <c r="M28" s="58">
        <f>IF(Calcul!G22=Données!G8,Données!M20,0)</f>
        <v>0</v>
      </c>
    </row>
    <row r="29" spans="1:25">
      <c r="G29">
        <f>IF(Calcul!G22=Données!G8,5,0)</f>
        <v>0</v>
      </c>
      <c r="M29" s="58">
        <f>IF(Calcul!G22=Données!G9,Données!U20,0)</f>
        <v>0</v>
      </c>
    </row>
    <row r="30" spans="1:25">
      <c r="G30">
        <f>IF(Calcul!G22=Données!G9,4,0)</f>
        <v>0</v>
      </c>
      <c r="M30" s="58">
        <f>IF(Calcul!G22=Données!G10,Données!S20,0)</f>
        <v>0</v>
      </c>
    </row>
    <row r="31" spans="1:25">
      <c r="G31">
        <f>IF(Calcul!G22=Données!G10,5,0)</f>
        <v>0</v>
      </c>
      <c r="M31" s="58">
        <f>IF(Calcul!G22=Données!G11,Données!M20,0)</f>
        <v>0</v>
      </c>
    </row>
    <row r="32" spans="1:25">
      <c r="G32">
        <f>IF(Calcul!G22=Données!G11,5,0)</f>
        <v>0</v>
      </c>
      <c r="M32" s="58">
        <f>IF(Calcul!G22=Données!G12,Données!W20,0)</f>
        <v>8.1000000000000003E-2</v>
      </c>
    </row>
    <row r="33" spans="7:13">
      <c r="G33">
        <f>IF(Calcul!G22=Données!G12,3,0)</f>
        <v>3</v>
      </c>
      <c r="M33" s="58">
        <f>IF(Calcul!G22=Données!G13,Données!Y20,0)</f>
        <v>0</v>
      </c>
    </row>
    <row r="34" spans="7:13">
      <c r="G34">
        <f>IF(Calcul!G22=Données!G13,5,0)</f>
        <v>0</v>
      </c>
      <c r="M34" s="58">
        <f>IF(Calcul!G22=Données!G14,Données!Q20,0)</f>
        <v>0</v>
      </c>
    </row>
    <row r="35" spans="7:13">
      <c r="G35">
        <f>IF(Calcul!G22=Données!G14,6,0)</f>
        <v>0</v>
      </c>
      <c r="M35" s="58">
        <f>IF(Calcul!G22=Données!G15,Données!M20,0)</f>
        <v>0</v>
      </c>
    </row>
    <row r="36" spans="7:13">
      <c r="G36">
        <f>IF(Calcul!G22=Données!G15,4,0)</f>
        <v>0</v>
      </c>
    </row>
  </sheetData>
  <dataValidations count="2">
    <dataValidation type="whole" allowBlank="1" showInputMessage="1" showErrorMessage="1" promptTitle="D Fraise" prompt="Sélection Fraise" sqref="E19">
      <formula1>1</formula1>
      <formula2>40</formula2>
    </dataValidation>
    <dataValidation type="list" allowBlank="1" showInputMessage="1" showErrorMessage="1" sqref="E2:E18">
      <formula1>$E$18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D42"/>
  <sheetViews>
    <sheetView tabSelected="1" workbookViewId="0">
      <selection activeCell="B15" sqref="B15"/>
    </sheetView>
  </sheetViews>
  <sheetFormatPr baseColWidth="10" defaultRowHeight="15"/>
  <sheetData>
    <row r="2" spans="2:2">
      <c r="B2" t="s">
        <v>132</v>
      </c>
    </row>
    <row r="3" spans="2:2">
      <c r="B3" t="s">
        <v>146</v>
      </c>
    </row>
    <row r="6" spans="2:2">
      <c r="B6" t="s">
        <v>123</v>
      </c>
    </row>
    <row r="8" spans="2:2">
      <c r="B8" t="s">
        <v>133</v>
      </c>
    </row>
    <row r="10" spans="2:2">
      <c r="B10" t="s">
        <v>134</v>
      </c>
    </row>
    <row r="11" spans="2:2">
      <c r="B11" t="s">
        <v>147</v>
      </c>
    </row>
    <row r="12" spans="2:2">
      <c r="B12" t="s">
        <v>124</v>
      </c>
    </row>
    <row r="14" spans="2:2">
      <c r="B14" t="s">
        <v>125</v>
      </c>
    </row>
    <row r="15" spans="2:2">
      <c r="B15" t="s">
        <v>148</v>
      </c>
    </row>
    <row r="17" spans="2:4">
      <c r="B17" t="s">
        <v>126</v>
      </c>
    </row>
    <row r="19" spans="2:4">
      <c r="B19" t="s">
        <v>135</v>
      </c>
    </row>
    <row r="21" spans="2:4">
      <c r="B21" t="s">
        <v>127</v>
      </c>
    </row>
    <row r="23" spans="2:4">
      <c r="B23" t="s">
        <v>128</v>
      </c>
    </row>
    <row r="24" spans="2:4">
      <c r="B24" t="s">
        <v>136</v>
      </c>
    </row>
    <row r="26" spans="2:4">
      <c r="B26" t="s">
        <v>139</v>
      </c>
    </row>
    <row r="27" spans="2:4">
      <c r="D27" t="s">
        <v>137</v>
      </c>
    </row>
    <row r="29" spans="2:4">
      <c r="C29" t="s">
        <v>140</v>
      </c>
    </row>
    <row r="30" spans="2:4">
      <c r="D30" t="s">
        <v>138</v>
      </c>
    </row>
    <row r="32" spans="2:4">
      <c r="C32" t="s">
        <v>141</v>
      </c>
    </row>
    <row r="33" spans="2:3">
      <c r="C33" t="s">
        <v>129</v>
      </c>
    </row>
    <row r="34" spans="2:3">
      <c r="C34" t="s">
        <v>130</v>
      </c>
    </row>
    <row r="35" spans="2:3">
      <c r="C35" t="s">
        <v>131</v>
      </c>
    </row>
    <row r="38" spans="2:3">
      <c r="B38" t="s">
        <v>142</v>
      </c>
    </row>
    <row r="40" spans="2:3">
      <c r="B40" t="s">
        <v>143</v>
      </c>
    </row>
    <row r="41" spans="2:3">
      <c r="B41" t="s">
        <v>144</v>
      </c>
    </row>
    <row r="42" spans="2:3">
      <c r="B42" t="s">
        <v>145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Calcul</vt:lpstr>
      <vt:lpstr>Données</vt:lpstr>
      <vt:lpstr>A propos</vt:lpstr>
      <vt:lpstr>D_Fraise</vt:lpstr>
      <vt:lpstr>D_Outil</vt:lpstr>
      <vt:lpstr>Dents</vt:lpstr>
      <vt:lpstr>Fraise</vt:lpstr>
      <vt:lpstr>Matière</vt:lpstr>
      <vt:lpstr>Données!Outil</vt:lpstr>
      <vt:lpstr>Outil</vt:lpstr>
      <vt:lpstr>TypOp</vt:lpstr>
      <vt:lpstr>TypOut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Calculateur paramètres de coupe</dc:title>
  <dc:creator>Jipé</dc:creator>
  <dc:description>BJP 13/07/2022</dc:description>
  <cp:lastModifiedBy>oe6393@gmail.com</cp:lastModifiedBy>
  <dcterms:created xsi:type="dcterms:W3CDTF">2022-01-21T15:19:47Z</dcterms:created>
  <dcterms:modified xsi:type="dcterms:W3CDTF">2022-07-19T13:31:43Z</dcterms:modified>
</cp:coreProperties>
</file>